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2120" windowHeight="6885" tabRatio="854" firstSheet="4" activeTab="8"/>
  </bookViews>
  <sheets>
    <sheet name="Nota Informativa" sheetId="1" r:id="rId1"/>
    <sheet name="Tav_1.1" sheetId="2" r:id="rId2"/>
    <sheet name="Tav_1.1 x Word" sheetId="3" r:id="rId3"/>
    <sheet name="Indici" sheetId="4" r:id="rId4"/>
    <sheet name="Tav_1.2 Trib-Sez_dist x materia" sheetId="5" r:id="rId5"/>
    <sheet name="Indici Tav_1.2 Trib-Sez_dist" sheetId="6" r:id="rId6"/>
    <sheet name="Tav. 1.2 GdP x materia x word" sheetId="7" r:id="rId7"/>
    <sheet name="Tav. 1.2 GdP x materia x indici" sheetId="8" r:id="rId8"/>
    <sheet name="Indici Tav. 1.2 GdP x materia" sheetId="9" r:id="rId9"/>
    <sheet name="Gafici andamento materie" sheetId="10" r:id="rId10"/>
    <sheet name="Materie " sheetId="11" r:id="rId11"/>
    <sheet name="Tav_1.3" sheetId="12" r:id="rId12"/>
    <sheet name="Grafici Tav_1.3" sheetId="13" r:id="rId13"/>
    <sheet name="Tav_1.4" sheetId="14" r:id="rId14"/>
    <sheet name="Tav_1.5" sheetId="15" r:id="rId15"/>
    <sheet name="Tav_1.6_1.7" sheetId="16" r:id="rId16"/>
    <sheet name="grafici nuovi iscritti" sheetId="17" r:id="rId17"/>
    <sheet name="Corte Appello" sheetId="18" r:id="rId18"/>
    <sheet name="tav. 1.1-mediazione" sheetId="19" r:id="rId19"/>
    <sheet name="tav.1.2-mediazione" sheetId="20" r:id="rId20"/>
    <sheet name="tav1.4 mediazione" sheetId="21" r:id="rId21"/>
  </sheets>
  <externalReferences>
    <externalReference r:id="rId24"/>
    <externalReference r:id="rId25"/>
  </externalReferences>
  <definedNames>
    <definedName name="_xlfn.COMPOUNDVALUE" hidden="1">#NAME?</definedName>
    <definedName name="_xlnm.Print_Titles" localSheetId="1">'Tav_1.1'!$1:$4</definedName>
    <definedName name="_xlnm.Print_Titles" localSheetId="2">'Tav_1.1 x Word'!$1:$3</definedName>
    <definedName name="_xlnm.Print_Titles" localSheetId="4">'Tav_1.2 Trib-Sez_dist x materia'!$1:$4</definedName>
  </definedNames>
  <calcPr fullCalcOnLoad="1"/>
</workbook>
</file>

<file path=xl/comments11.xml><?xml version="1.0" encoding="utf-8"?>
<comments xmlns="http://schemas.openxmlformats.org/spreadsheetml/2006/main">
  <authors>
    <author> C:\Patrizia</author>
  </authors>
  <commentList>
    <comment ref="A17" authorId="0">
      <text>
        <r>
          <rPr>
            <b/>
            <sz val="8"/>
            <rFont val="Tahoma"/>
            <family val="2"/>
          </rPr>
          <t xml:space="preserve"> C:\Patrizia:</t>
        </r>
        <r>
          <rPr>
            <sz val="8"/>
            <rFont val="Tahoma"/>
            <family val="2"/>
          </rPr>
          <t xml:space="preserve">
Il Totale è stato rilevato dalla Tav. 1,1</t>
        </r>
      </text>
    </comment>
  </commentList>
</comments>
</file>

<file path=xl/comments17.xml><?xml version="1.0" encoding="utf-8"?>
<comments xmlns="http://schemas.openxmlformats.org/spreadsheetml/2006/main">
  <authors>
    <author>Valeria Di Maria</author>
  </authors>
  <commentList>
    <comment ref="B55" authorId="0">
      <text>
        <r>
          <rPr>
            <b/>
            <sz val="9"/>
            <rFont val="Tahoma"/>
            <family val="2"/>
          </rPr>
          <t>Valeria Di Maria:</t>
        </r>
        <r>
          <rPr>
            <sz val="9"/>
            <rFont val="Tahoma"/>
            <family val="2"/>
          </rPr>
          <t xml:space="preserve">
</t>
        </r>
      </text>
    </comment>
  </commentList>
</comments>
</file>

<file path=xl/comments18.xml><?xml version="1.0" encoding="utf-8"?>
<comments xmlns="http://schemas.openxmlformats.org/spreadsheetml/2006/main">
  <authors>
    <author>USER </author>
  </authors>
  <commentList>
    <comment ref="B4" authorId="0">
      <text>
        <r>
          <rPr>
            <b/>
            <sz val="8"/>
            <color indexed="8"/>
            <rFont val="Tahoma"/>
            <family val="2"/>
          </rPr>
          <t>calcolati a ritroso</t>
        </r>
      </text>
    </comment>
    <comment ref="B48" authorId="0">
      <text>
        <r>
          <rPr>
            <b/>
            <sz val="8"/>
            <color indexed="8"/>
            <rFont val="Tahoma"/>
            <family val="2"/>
          </rPr>
          <t>calcolati a ritroso</t>
        </r>
      </text>
    </comment>
  </commentList>
</comments>
</file>

<file path=xl/comments2.xml><?xml version="1.0" encoding="utf-8"?>
<comments xmlns="http://schemas.openxmlformats.org/spreadsheetml/2006/main">
  <authors>
    <author> C:\Patrizia</author>
  </authors>
  <commentList>
    <comment ref="A29" authorId="0">
      <text>
        <r>
          <rPr>
            <b/>
            <sz val="8"/>
            <rFont val="Tahoma"/>
            <family val="2"/>
          </rPr>
          <t xml:space="preserve"> C:\Patrizia:</t>
        </r>
        <r>
          <rPr>
            <sz val="8"/>
            <rFont val="Tahoma"/>
            <family val="2"/>
          </rPr>
          <t xml:space="preserve">
Avola inadempiente dal 1° trimestre 2012, queste sono stime.</t>
        </r>
      </text>
    </comment>
    <comment ref="A74" authorId="0">
      <text>
        <r>
          <rPr>
            <b/>
            <sz val="8"/>
            <rFont val="Tahoma"/>
            <family val="2"/>
          </rPr>
          <t xml:space="preserve"> C:\Patrizia:</t>
        </r>
        <r>
          <rPr>
            <sz val="8"/>
            <rFont val="Tahoma"/>
            <family val="2"/>
          </rPr>
          <t xml:space="preserve">
Per Siracusa sono le stime, essendo insdempiente, ma non quadrano i pendenti iniziali!!!</t>
        </r>
      </text>
    </comment>
  </commentList>
</comments>
</file>

<file path=xl/comments3.xml><?xml version="1.0" encoding="utf-8"?>
<comments xmlns="http://schemas.openxmlformats.org/spreadsheetml/2006/main">
  <authors>
    <author> C:\Patrizia</author>
  </authors>
  <commentList>
    <comment ref="A41" authorId="0">
      <text>
        <r>
          <rPr>
            <b/>
            <sz val="8"/>
            <rFont val="Tahoma"/>
            <family val="2"/>
          </rPr>
          <t xml:space="preserve"> C:\Patrizia:</t>
        </r>
        <r>
          <rPr>
            <sz val="8"/>
            <rFont val="Tahoma"/>
            <family val="2"/>
          </rPr>
          <t xml:space="preserve">
Inadempiente per entrambi gli A.G.</t>
        </r>
      </text>
    </comment>
    <comment ref="A28" authorId="0">
      <text>
        <r>
          <rPr>
            <b/>
            <sz val="8"/>
            <rFont val="Tahoma"/>
            <family val="2"/>
          </rPr>
          <t xml:space="preserve"> C:\Patrizia:</t>
        </r>
        <r>
          <rPr>
            <sz val="8"/>
            <rFont val="Tahoma"/>
            <family val="2"/>
          </rPr>
          <t xml:space="preserve">
Avola inadempiente dal 1° trimestre 2012.</t>
        </r>
      </text>
    </comment>
    <comment ref="A51" authorId="0">
      <text>
        <r>
          <rPr>
            <b/>
            <sz val="8"/>
            <rFont val="Tahoma"/>
            <family val="2"/>
          </rPr>
          <t xml:space="preserve"> C:\Patrizia:</t>
        </r>
        <r>
          <rPr>
            <sz val="8"/>
            <rFont val="Tahoma"/>
            <family val="2"/>
          </rPr>
          <t xml:space="preserve">
Per Giarre sono le stime, essendo inadempiente.</t>
        </r>
      </text>
    </comment>
    <comment ref="A57" authorId="0">
      <text>
        <r>
          <rPr>
            <b/>
            <sz val="8"/>
            <rFont val="Tahoma"/>
            <family val="2"/>
          </rPr>
          <t xml:space="preserve"> C:\Patrizia:</t>
        </r>
        <r>
          <rPr>
            <sz val="8"/>
            <rFont val="Tahoma"/>
            <family val="2"/>
          </rPr>
          <t xml:space="preserve">
Per Trecastagni sono le stime, essendo inadempiente.</t>
        </r>
      </text>
    </comment>
    <comment ref="A70" authorId="0">
      <text>
        <r>
          <rPr>
            <b/>
            <sz val="8"/>
            <rFont val="Tahoma"/>
            <family val="2"/>
          </rPr>
          <t xml:space="preserve"> C:\Patrizia:</t>
        </r>
        <r>
          <rPr>
            <sz val="8"/>
            <rFont val="Tahoma"/>
            <family val="2"/>
          </rPr>
          <t xml:space="preserve">
Per Lentini sono le stime, essendo inadempiente.</t>
        </r>
      </text>
    </comment>
    <comment ref="A74" authorId="0">
      <text>
        <r>
          <rPr>
            <b/>
            <sz val="8"/>
            <rFont val="Tahoma"/>
            <family val="2"/>
          </rPr>
          <t xml:space="preserve"> C:\Patrizia:</t>
        </r>
        <r>
          <rPr>
            <sz val="8"/>
            <rFont val="Tahoma"/>
            <family val="2"/>
          </rPr>
          <t xml:space="preserve">
Per Siracusa sono le stime, essendo inadempiente.</t>
        </r>
      </text>
    </comment>
  </commentList>
</comments>
</file>

<file path=xl/comments4.xml><?xml version="1.0" encoding="utf-8"?>
<comments xmlns="http://schemas.openxmlformats.org/spreadsheetml/2006/main">
  <authors>
    <author> C:\Patrizia</author>
  </authors>
  <commentList>
    <comment ref="A39" authorId="0">
      <text>
        <r>
          <rPr>
            <b/>
            <sz val="8"/>
            <rFont val="Tahoma"/>
            <family val="2"/>
          </rPr>
          <t xml:space="preserve"> C:\Patrizia:</t>
        </r>
        <r>
          <rPr>
            <sz val="8"/>
            <rFont val="Tahoma"/>
            <family val="2"/>
          </rPr>
          <t xml:space="preserve">
Il GdP di Mineo è inadempiente per tutto il periodo, queste sono stime.</t>
        </r>
      </text>
    </comment>
    <comment ref="A29" authorId="0">
      <text>
        <r>
          <rPr>
            <b/>
            <sz val="8"/>
            <rFont val="Tahoma"/>
            <family val="2"/>
          </rPr>
          <t xml:space="preserve"> C:\Patrizia:</t>
        </r>
        <r>
          <rPr>
            <sz val="8"/>
            <rFont val="Tahoma"/>
            <family val="2"/>
          </rPr>
          <t xml:space="preserve">
Avola inadempiente dal 1° trimestre 2012, queste sono stime.</t>
        </r>
      </text>
    </comment>
    <comment ref="A49" authorId="0">
      <text>
        <r>
          <rPr>
            <b/>
            <sz val="8"/>
            <rFont val="Tahoma"/>
            <family val="2"/>
          </rPr>
          <t xml:space="preserve"> C:\Patrizia:</t>
        </r>
        <r>
          <rPr>
            <sz val="8"/>
            <rFont val="Tahoma"/>
            <family val="2"/>
          </rPr>
          <t xml:space="preserve">
Per Giarre sono le stime, essendo insdempiente.</t>
        </r>
      </text>
    </comment>
    <comment ref="A55" authorId="0">
      <text>
        <r>
          <rPr>
            <b/>
            <sz val="8"/>
            <rFont val="Tahoma"/>
            <family val="2"/>
          </rPr>
          <t xml:space="preserve"> C:\Patrizia:</t>
        </r>
        <r>
          <rPr>
            <sz val="8"/>
            <rFont val="Tahoma"/>
            <family val="2"/>
          </rPr>
          <t xml:space="preserve">
Per Trecastagni sono le stime, essendo insdempiente.</t>
        </r>
      </text>
    </comment>
    <comment ref="A68" authorId="0">
      <text>
        <r>
          <rPr>
            <b/>
            <sz val="8"/>
            <rFont val="Tahoma"/>
            <family val="2"/>
          </rPr>
          <t xml:space="preserve"> C:\Patrizia:</t>
        </r>
        <r>
          <rPr>
            <sz val="8"/>
            <rFont val="Tahoma"/>
            <family val="2"/>
          </rPr>
          <t xml:space="preserve">
Per Lentini sono le stime, essendo insdempiente.</t>
        </r>
      </text>
    </comment>
    <comment ref="A72" authorId="0">
      <text>
        <r>
          <rPr>
            <b/>
            <sz val="8"/>
            <rFont val="Tahoma"/>
            <family val="2"/>
          </rPr>
          <t xml:space="preserve"> C:\Patrizia:</t>
        </r>
        <r>
          <rPr>
            <sz val="8"/>
            <rFont val="Tahoma"/>
            <family val="2"/>
          </rPr>
          <t xml:space="preserve">
Per Siracusa sono le stime, essendo insdempiente.</t>
        </r>
      </text>
    </comment>
  </commentList>
</comments>
</file>

<file path=xl/comments5.xml><?xml version="1.0" encoding="utf-8"?>
<comments xmlns="http://schemas.openxmlformats.org/spreadsheetml/2006/main">
  <authors>
    <author> C:\Patrizia</author>
  </authors>
  <commentList>
    <comment ref="A2" authorId="0">
      <text>
        <r>
          <rPr>
            <b/>
            <sz val="8"/>
            <rFont val="Tahoma"/>
            <family val="2"/>
          </rPr>
          <t xml:space="preserve"> C:\Patrizia:</t>
        </r>
        <r>
          <rPr>
            <sz val="8"/>
            <rFont val="Tahoma"/>
            <family val="2"/>
          </rPr>
          <t xml:space="preserve">
Eliminare la Corte d'Appello</t>
        </r>
      </text>
    </comment>
    <comment ref="A24" authorId="0">
      <text>
        <r>
          <rPr>
            <b/>
            <sz val="8"/>
            <rFont val="Tahoma"/>
            <family val="2"/>
          </rPr>
          <t xml:space="preserve"> C:\Patrizia:</t>
        </r>
        <r>
          <rPr>
            <sz val="8"/>
            <rFont val="Tahoma"/>
            <family val="2"/>
          </rPr>
          <t xml:space="preserve">
Avola inadempiente dal 1° trimestre 2012, sono state utilizzate le stime.</t>
        </r>
      </text>
    </comment>
  </commentList>
</comments>
</file>

<file path=xl/comments6.xml><?xml version="1.0" encoding="utf-8"?>
<comments xmlns="http://schemas.openxmlformats.org/spreadsheetml/2006/main">
  <authors>
    <author> C:\Patrizia</author>
  </authors>
  <commentList>
    <comment ref="A2" authorId="0">
      <text>
        <r>
          <rPr>
            <b/>
            <sz val="8"/>
            <rFont val="Tahoma"/>
            <family val="2"/>
          </rPr>
          <t xml:space="preserve"> C:\Patrizia:</t>
        </r>
        <r>
          <rPr>
            <sz val="8"/>
            <rFont val="Tahoma"/>
            <family val="2"/>
          </rPr>
          <t xml:space="preserve">
Eliminare la Corte d'Appello</t>
        </r>
      </text>
    </comment>
    <comment ref="A24" authorId="0">
      <text>
        <r>
          <rPr>
            <b/>
            <sz val="8"/>
            <rFont val="Tahoma"/>
            <family val="2"/>
          </rPr>
          <t xml:space="preserve"> C:\Patrizia:</t>
        </r>
        <r>
          <rPr>
            <sz val="8"/>
            <rFont val="Tahoma"/>
            <family val="2"/>
          </rPr>
          <t xml:space="preserve">
Avola inadempiente dal 1° trimestre 2012, sono state utilizzate le stime.</t>
        </r>
      </text>
    </comment>
  </commentList>
</comments>
</file>

<file path=xl/sharedStrings.xml><?xml version="1.0" encoding="utf-8"?>
<sst xmlns="http://schemas.openxmlformats.org/spreadsheetml/2006/main" count="1868" uniqueCount="493">
  <si>
    <t>Ufficio</t>
  </si>
  <si>
    <t>Iscritti</t>
  </si>
  <si>
    <t>Definiti</t>
  </si>
  <si>
    <t>Finali</t>
  </si>
  <si>
    <t>Corte di Appello</t>
  </si>
  <si>
    <t>Totale Distretto</t>
  </si>
  <si>
    <t>Totale complessivo</t>
  </si>
  <si>
    <t>Famiglia</t>
  </si>
  <si>
    <t>Totale</t>
  </si>
  <si>
    <t>Previdenza</t>
  </si>
  <si>
    <t>Istanze di fallimento</t>
  </si>
  <si>
    <t>Altro</t>
  </si>
  <si>
    <t>Cognizione ordinaria</t>
  </si>
  <si>
    <t>Procedimenti esecutivi mobiliari</t>
  </si>
  <si>
    <t>Procedimenti esecutivi immobiliari</t>
  </si>
  <si>
    <t>Volontaria giurisdizione</t>
  </si>
  <si>
    <t xml:space="preserve">Lavoro </t>
  </si>
  <si>
    <t>Procedimenti in materia di fallimento</t>
  </si>
  <si>
    <t>Marchi e brevetti</t>
  </si>
  <si>
    <t xml:space="preserve">Equa riparazione </t>
  </si>
  <si>
    <t>Uffici del Giudice di Pace raggruppati per circondario</t>
  </si>
  <si>
    <t>Adozione nazionale</t>
  </si>
  <si>
    <t>Adozione internazionale</t>
  </si>
  <si>
    <t>Procedimenti contenziosi</t>
  </si>
  <si>
    <t xml:space="preserve">Totale </t>
  </si>
  <si>
    <t xml:space="preserve">Materia </t>
  </si>
  <si>
    <t>Provvedimenti relativi alla sottrazione internazionale dei minori (art. 7 L. 64794)</t>
  </si>
  <si>
    <t xml:space="preserve">accoglimento </t>
  </si>
  <si>
    <t>rigetto</t>
  </si>
  <si>
    <t>revoca</t>
  </si>
  <si>
    <t>archiviazione</t>
  </si>
  <si>
    <t>Esito</t>
  </si>
  <si>
    <t>Anni precedenti</t>
  </si>
  <si>
    <t>Tribunali e relative sezioni</t>
  </si>
  <si>
    <t>Sentenze</t>
  </si>
  <si>
    <t>collegiali</t>
  </si>
  <si>
    <t>monocratiche</t>
  </si>
  <si>
    <t>Tipologia Ufficio</t>
  </si>
  <si>
    <t>Anno 1997</t>
  </si>
  <si>
    <t>Anno 1998</t>
  </si>
  <si>
    <t>Anno 1999</t>
  </si>
  <si>
    <t>Anno 2000</t>
  </si>
  <si>
    <t>Anno 2001</t>
  </si>
  <si>
    <t>Anno 2002</t>
  </si>
  <si>
    <t>Anno 2003</t>
  </si>
  <si>
    <t>Anno 2004</t>
  </si>
  <si>
    <t>Anno 2005</t>
  </si>
  <si>
    <t>Anno 2006</t>
  </si>
  <si>
    <t>Anno 2007</t>
  </si>
  <si>
    <t>Anno 2008</t>
  </si>
  <si>
    <t>Anno 2009</t>
  </si>
  <si>
    <t>% sul totale ufficio</t>
  </si>
  <si>
    <t>% sul totale Tribunali</t>
  </si>
  <si>
    <t>Lavoro</t>
  </si>
  <si>
    <t>Variazione percentuale 
A.G. 2010/2011 vs. A.G. 2009/2010</t>
  </si>
  <si>
    <t>Anno 2010</t>
  </si>
  <si>
    <t>Tribunale</t>
  </si>
  <si>
    <t>Introduzione</t>
  </si>
  <si>
    <t>Il sistema informativo della Direzione Generale di Statistica poggia su una complessa struttura informatica, sviluppata dal personale della Direzione, che ha consentito di automatizzare la maggior parte delle fasi della produzione del dato, dall’acquisizione alla sua distribuzione. Parte di tale struttura comprende un sistema di Data Warehouse completo di strumenti olap e di data mining, per la fase di elaborazione dei dati, e integrato con prodotti che consentono la produzione di reports, statici e dinamici, per la fase di distribuzione dei dati. Il parallelo sviluppo di un autonomo portale ha consentito, infine, la possibilità di mettere in consultazione via web le informazioni.</t>
  </si>
  <si>
    <t>Famiglia - Separazioni
 (consensuali e giudiziali)</t>
  </si>
  <si>
    <t>Famiglia - Divorzi 
(a firma congiunta e giudiziali)</t>
  </si>
  <si>
    <t>entro 30 gg</t>
  </si>
  <si>
    <t>tra 31 e 60 gg</t>
  </si>
  <si>
    <t>tra 61 e 90 gg</t>
  </si>
  <si>
    <t>tra 91 e 120 gg</t>
  </si>
  <si>
    <t>oltre 120 gg</t>
  </si>
  <si>
    <t>entro 60 gg</t>
  </si>
  <si>
    <t>tra 61 e 120 gg</t>
  </si>
  <si>
    <t>Pubblicazione Sentenze</t>
  </si>
  <si>
    <t>oltre 60 gg</t>
  </si>
  <si>
    <t>entro 15 gg</t>
  </si>
  <si>
    <t>tra 16 e 30 gg</t>
  </si>
  <si>
    <t>Procedimenti civili iscritti, definiti e pendenti a fine  periodo nell'A.G. 2010/2011. Confronto con l'A.G. precedente e variazioni percentuali. Sedi completamente rispondenti</t>
  </si>
  <si>
    <t>Procedimenti civili iscritti, definiti e pendenti a fine periodo nell'A.G. 2010/2011. Dettaglio principali materie [1/3]. Sedi completamente rispondenti</t>
  </si>
  <si>
    <t>Procedimenti civili iscritti, definiti e pendenti a fine periodo nell'A.G. 2010/2011. Dettaglio principali materie [2/3]. Sedi completamente rispondenti</t>
  </si>
  <si>
    <t>Procedimenti civili iscritti, definiti e pendenti a fine periodo nell'A.G. 2010/2011. Dettaglio materie di competenza del Giudice di Pace [3/3]. Sedi completamente rispondenti</t>
  </si>
  <si>
    <t>Procedimenti civili definiti con sentenza nell'anno 2010 secondo l'anno di iscrizione - Corte d'Appello</t>
  </si>
  <si>
    <t>Procedimenti civili definiti con sentenza nell'anno 2010 secondo l'anno di iscrizione - Tribunali e relative sezioni distaccate. Sedi completamente rispondenti</t>
  </si>
  <si>
    <t>Procedimenti civili definiti con sentenza nell'anno 2010 secondo l'anno di iscrizione - Giudici di Pace. Sedi completamente rispondenti</t>
  </si>
  <si>
    <t>Numero dei procedimenti civili pendenti al 31 dicembre 2010 per anno di iscrizione e per tipologia di ufficio</t>
  </si>
  <si>
    <t>Tribunale per i minorenni: procedimenti civili iscritti, definiti e pendenti a fine periodo nell'A.G. 2010/2011. Sedi completamente rispondenti</t>
  </si>
  <si>
    <t>Tribunale per i minorenni: provvedimenti relativi alla sottrazione dei minori  nell'A.G. 2010/2011. Sedi completamente rispondenti</t>
  </si>
  <si>
    <t xml:space="preserve">Procedimenti penali iscritti, definiti e pendenti nell'A.G. 2010/2011. Confronto con l'A.G. precedente e variazioni percentuali. Sedi completamente rispondenti </t>
  </si>
  <si>
    <t xml:space="preserve">Rapporto percentuale tra procedimenti contro autori NOTI iscritti in Procura della Repubblica nel modello 21 e i procedimenti iscritti per Fatti non costituenti reato a modello 45. Sedi completamente rispondenti </t>
  </si>
  <si>
    <t>Procedimenti penali iscritti, definiti e pendenti nell'A.G. 2010/2011. Sedi completamente rispondenti</t>
  </si>
  <si>
    <t>Procedimenti penali iscritti in Tribunale nell'A.G. 2010/2011 suddivisi in base al numero degli imputati. Sedi completamente rispondenti</t>
  </si>
  <si>
    <t>Procedimenti penali iscritti in Procura della Repubblica nell'A.G. 2010/2011 suddivisi in base al numero degli indagati. Sedi completamente rispondenti</t>
  </si>
  <si>
    <t>Procedimenti penali iscritti, definiti e pendenti nell'A.G. 2010/2011. Sedi degli Uffici del Giudice di Pace completamente rispondenti raggruppati per circondario</t>
  </si>
  <si>
    <t>Incidenza dei procedimenti definiti per PRESCRIZIONE sul totale dei procedimenti definiti. Sedi completamente rispondenti</t>
  </si>
  <si>
    <t>Procedimenti penali definiti per PRESCRIZIONE nell'A.G. 2010/2011. Sedi completamente rispondenti. Valori assoluti per il calcolo della tabella 2.5</t>
  </si>
  <si>
    <t>Procedimenti penali definiti con sentenza distinti per rito nei Tribunali ordinari nell'A.G. 2010/2011. Sedi completamente rispondenti</t>
  </si>
  <si>
    <t>Procedimenti contro NOTI definiti presso l'Ufficio GIP/GUP per modalità di definizione nell'A.G. 2010/2011. Sedi completamente rispondenti</t>
  </si>
  <si>
    <t xml:space="preserve">Procedimenti contro NOTI definiti presso la Procura della Repubblica per modalità di definizione nell'A.G. 2010/2011. Sedi completamente rispondenti </t>
  </si>
  <si>
    <t xml:space="preserve">Procedimenti penali definiti distinti per sede, tipo rito e classe di durata nei Tribunali ordinari nell'A.G. 2010/2011. Sedi completamente rispondenti </t>
  </si>
  <si>
    <t>Procedimenti penali definiti distinti per sede e classe di durata nei Tribunali ordinari - Sezione GIP GUP nell'A.G. 2010/2011. Sedi completamente rispondenti</t>
  </si>
  <si>
    <t xml:space="preserve">Procedimenti penali definiti distinti per sede e classe di durata nelle Procure ordinarie nell'A.G. 2010/2011. Sedi completamente rispondenti </t>
  </si>
  <si>
    <t>Numero dei procedimenti penali pendenti al 31 dicembre 2010 per anno di iscrizione e per tipologia di ufficio</t>
  </si>
  <si>
    <t>Intercettazioni. Numero dei bersagli intercettati suddivisi per ufficio, sede e tipologia di bersaglio nell'A.G. 2010/2011</t>
  </si>
  <si>
    <t>Tav.   2.14</t>
  </si>
  <si>
    <t>Tav.   2.13</t>
  </si>
  <si>
    <t xml:space="preserve">Tav.   2.12 </t>
  </si>
  <si>
    <t xml:space="preserve">Tav.    1.5 </t>
  </si>
  <si>
    <t xml:space="preserve">Tav.    1.6 </t>
  </si>
  <si>
    <t xml:space="preserve">Tav.    1.7 </t>
  </si>
  <si>
    <t xml:space="preserve">Tav.    2.1 </t>
  </si>
  <si>
    <t xml:space="preserve">Tav.    2.2 </t>
  </si>
  <si>
    <t>Tav.    2.8</t>
  </si>
  <si>
    <t>Tavv. 2.9 e 2.10</t>
  </si>
  <si>
    <t xml:space="preserve">Tav.   2.11 </t>
  </si>
  <si>
    <t xml:space="preserve">Tav.    2.7 </t>
  </si>
  <si>
    <t xml:space="preserve">Tav.    2.6 bis </t>
  </si>
  <si>
    <t xml:space="preserve">Tav.    2.6 </t>
  </si>
  <si>
    <t xml:space="preserve">Tav.    2.5 bis </t>
  </si>
  <si>
    <t xml:space="preserve">Tav.    2.5 </t>
  </si>
  <si>
    <t>Tav.    2.4</t>
  </si>
  <si>
    <t xml:space="preserve">Tav.    2.3 bis </t>
  </si>
  <si>
    <t xml:space="preserve">Tav.    2.3 </t>
  </si>
  <si>
    <t xml:space="preserve">Tav.    2.2bis </t>
  </si>
  <si>
    <t xml:space="preserve">Tav.    2.1bis </t>
  </si>
  <si>
    <t xml:space="preserve">Tav.    1.4c </t>
  </si>
  <si>
    <t xml:space="preserve">Tav.    1.4b </t>
  </si>
  <si>
    <t xml:space="preserve">Tav.    1.4a </t>
  </si>
  <si>
    <t xml:space="preserve">Tav.    1.3c </t>
  </si>
  <si>
    <t xml:space="preserve">Tav.    1.3b </t>
  </si>
  <si>
    <t xml:space="preserve">Tav.    1.3a </t>
  </si>
  <si>
    <t xml:space="preserve">Tav.    1.2c </t>
  </si>
  <si>
    <t xml:space="preserve">Tav.    1.2b </t>
  </si>
  <si>
    <t xml:space="preserve">Tav.    1.2a </t>
  </si>
  <si>
    <t xml:space="preserve">Tav.    1.1 </t>
  </si>
  <si>
    <t xml:space="preserve">Sentenze secondo i termini di pubblicazione  (% sul totale delle sentenze pubblicate) - Anno 2010 - Tribunali </t>
  </si>
  <si>
    <t>Sentenze secondo i termini di pubblicazione  (% sul totale  delle sentenze pubblicate) - Anno 2010 - Giudici di pace</t>
  </si>
  <si>
    <t>Sentenze secondo i termini di pubblicazione  (% sul totale delle sentenze pubblicate) - Anno 2010 - Corte di Appello</t>
  </si>
  <si>
    <t>CALTAGIRONE</t>
  </si>
  <si>
    <t>CATANIA</t>
  </si>
  <si>
    <t>MODICA</t>
  </si>
  <si>
    <t>RAGUSA</t>
  </si>
  <si>
    <t>SIRACUSA</t>
  </si>
  <si>
    <t>Corte di Appello di Catania</t>
  </si>
  <si>
    <t>Tribunale per i minorenni di Catania</t>
  </si>
  <si>
    <t xml:space="preserve">Tribunale di Caltagirone </t>
  </si>
  <si>
    <t xml:space="preserve">Sezione distaccata di Grammichele </t>
  </si>
  <si>
    <t>Totale circondario di Caltagirone</t>
  </si>
  <si>
    <t>Tribunale di Catania</t>
  </si>
  <si>
    <t>Sezione distaccata di Acireale</t>
  </si>
  <si>
    <t>Sezione distaccata di Adrano</t>
  </si>
  <si>
    <t>Sezione distaccata di Belpasso</t>
  </si>
  <si>
    <t>Sezione distaccata di Bronte</t>
  </si>
  <si>
    <t>Sezione distaccata di Giarre</t>
  </si>
  <si>
    <t>Sezione distaccata di Mascalucia</t>
  </si>
  <si>
    <t>Sezione distaccata di Paternò</t>
  </si>
  <si>
    <t>Totale circondario di Catania</t>
  </si>
  <si>
    <t>Tribunale di Modica</t>
  </si>
  <si>
    <t>Tribunale di Ragusa</t>
  </si>
  <si>
    <t>Sezione distaccata di Vittoria</t>
  </si>
  <si>
    <t>Totale circondario di Ragusa</t>
  </si>
  <si>
    <t>Tribunale di Siracusa</t>
  </si>
  <si>
    <t>Sezione distaccata di Augusta</t>
  </si>
  <si>
    <t>Sezione distaccata di Avola</t>
  </si>
  <si>
    <t>Sezione distaccata di Lentini</t>
  </si>
  <si>
    <t>Totale circondario di Siracusa</t>
  </si>
  <si>
    <t xml:space="preserve">Totale Circondario di Caltagirone </t>
  </si>
  <si>
    <t>Giudice di Pace di Caltagirone</t>
  </si>
  <si>
    <t>Giudice di Pace di Grammichele</t>
  </si>
  <si>
    <t>Giudice di Pace di Militello in Val di Catania</t>
  </si>
  <si>
    <t>Giudice di Pace di Mineo</t>
  </si>
  <si>
    <t>Giudice di Pace di Niscemi</t>
  </si>
  <si>
    <t>Giudice di Pace di Vizzini</t>
  </si>
  <si>
    <t>Totale Circondario di Catania</t>
  </si>
  <si>
    <t>Giudice di Pace di Catania</t>
  </si>
  <si>
    <t>Giudice di Pace di Acireale</t>
  </si>
  <si>
    <t>Giudice di Pace di Adrano</t>
  </si>
  <si>
    <t>Giudice di Pace di Belpasso</t>
  </si>
  <si>
    <t>Giudice di Pace di Biancavilla</t>
  </si>
  <si>
    <t>Giudice di Pace di Bronte</t>
  </si>
  <si>
    <t>Giudice di Pace di Giarre</t>
  </si>
  <si>
    <t>Giudice di Pace di Linguaglossa</t>
  </si>
  <si>
    <t>Giudice di Pace di Mascalucia</t>
  </si>
  <si>
    <t>Giudice di Pace di Paternò</t>
  </si>
  <si>
    <t>Giudice di Pace di Ramacca</t>
  </si>
  <si>
    <t>Giudice di Pace di Randazzo</t>
  </si>
  <si>
    <t>Giudice di Pace di Trecastagni</t>
  </si>
  <si>
    <t>Giudice di Pace di Modica</t>
  </si>
  <si>
    <t>Giudice di Pace di Ispica</t>
  </si>
  <si>
    <t>Giudice di Pace di Scicli</t>
  </si>
  <si>
    <t>Totale Circondario di Ragusa</t>
  </si>
  <si>
    <t xml:space="preserve">Giudice di Pace di Ragusa </t>
  </si>
  <si>
    <t>Giudice di Pace di Chiaramonte</t>
  </si>
  <si>
    <t xml:space="preserve">Giudice di Pace di Comiso </t>
  </si>
  <si>
    <t>Giudice di Pace di Vittoria</t>
  </si>
  <si>
    <t>Totale Circondario di Siracusa</t>
  </si>
  <si>
    <t>Giudice di Pace di Siracusa</t>
  </si>
  <si>
    <t>Giudice di Pace di Augusta</t>
  </si>
  <si>
    <t>Giudice di Pace di Avola</t>
  </si>
  <si>
    <t>Giudice di Pace di Floridia</t>
  </si>
  <si>
    <t>Giudice di Pace di Lentini</t>
  </si>
  <si>
    <t>Giudice di Pace di Noto</t>
  </si>
  <si>
    <t>Giudice di Pace di Pachino</t>
  </si>
  <si>
    <t>Giudice di Pace di Palazzolo Acreide</t>
  </si>
  <si>
    <t>Giudice di Pace di Sortino</t>
  </si>
  <si>
    <t>Tribunale di Caltagirone</t>
  </si>
  <si>
    <t>Uffici del Giudice di Pace</t>
  </si>
  <si>
    <t>Materia</t>
  </si>
  <si>
    <t>Sez. distaccata di Grammichele</t>
  </si>
  <si>
    <t>Sez. distaccata di Acireale</t>
  </si>
  <si>
    <t>Sez. distaccata di Adrano</t>
  </si>
  <si>
    <t>Sez. distaccata di Belpasso</t>
  </si>
  <si>
    <t>Sez. distaccata di Bronte</t>
  </si>
  <si>
    <t>Sez. distaccata di Giarre</t>
  </si>
  <si>
    <t>Sez. distaccata di Mascalucia</t>
  </si>
  <si>
    <t>Sez. distaccata di Paternò</t>
  </si>
  <si>
    <t>Sez. distaccata di Vittoria</t>
  </si>
  <si>
    <t>Sez. distaccata di Augusta</t>
  </si>
  <si>
    <t>Sez. distaccata di Avola</t>
  </si>
  <si>
    <t>Sez. distaccata di Lentini</t>
  </si>
  <si>
    <t>Sentenze Collegiali</t>
  </si>
  <si>
    <t>Circondario di Caltagirone</t>
  </si>
  <si>
    <t>Circondario di Catania</t>
  </si>
  <si>
    <t>Circondario di Ragusa</t>
  </si>
  <si>
    <t>Circondario di Siracusa</t>
  </si>
  <si>
    <t>FONTE: DGSTAT</t>
  </si>
  <si>
    <t>Aggiornamento al 19/10/2011</t>
  </si>
  <si>
    <t>Gli uffici in rosso sono inadempienti.</t>
  </si>
  <si>
    <t>Iniziali</t>
  </si>
  <si>
    <t>Indice di ricambio</t>
  </si>
  <si>
    <t>Indice di smaltimento</t>
  </si>
  <si>
    <t>Durata in anni</t>
  </si>
  <si>
    <t>Variazione percentuale 
A.G. 2009/2010 vs. A.G. 2008/2009</t>
  </si>
  <si>
    <t>Totale Tribunali Distretto</t>
  </si>
  <si>
    <t>Pendenti Finali</t>
  </si>
  <si>
    <t>Andamento dei procedimenti di Cognizione Ordinaria nell'ultimo quinquennio presso Tribunali e Sezioni distaccate 
(1° grado, appello e stralcio)</t>
  </si>
  <si>
    <t>Variazione %</t>
  </si>
  <si>
    <t>1/7/2009 - 30/6/2010</t>
  </si>
  <si>
    <t>Sopravvenuti</t>
  </si>
  <si>
    <t>Eliminati</t>
  </si>
  <si>
    <t>Pendenti finali</t>
  </si>
  <si>
    <t>1/7/2010 - 30/6/2011</t>
  </si>
  <si>
    <t xml:space="preserve">Andamento dei procedimenti civili di 1° grado in materia di Lavoro nell'ultimo quinquennio presso i Tribunali </t>
  </si>
  <si>
    <t>Andamento dei procedimenti in materia di Previdenza e Assistenza obbligatoria nell'ultimo quinquennio presso i Tribunali del distretto di Catania</t>
  </si>
  <si>
    <t>Andamento dei procedimenti di Separazione Consensuale e Giudiziale nell'ultimo quinquennio presso i Tribunali del distretto di Catania</t>
  </si>
  <si>
    <t>Andamento dei procedimenti di Divorzio Consensuale e Giudiziale nell'ultimo quinquennio presso i Tribunali del distretto di Catania</t>
  </si>
  <si>
    <t>Andamento dei procedimenti in materia di Fallimento nell'ultimo quinquennio presso i Tribunali del distretto di Catania</t>
  </si>
  <si>
    <t>Variazione pendenze</t>
  </si>
  <si>
    <t>Famiglia - Separazioni (consensuali e giudiziali)</t>
  </si>
  <si>
    <t>Famiglia - Divorzi (consensuali e giudiziali)</t>
  </si>
  <si>
    <t>Procedimenti Speciali</t>
  </si>
  <si>
    <t>Totale procedimenti civili</t>
  </si>
  <si>
    <t>Totale distretto</t>
  </si>
  <si>
    <t>Collegiali</t>
  </si>
  <si>
    <t>Monocratiche</t>
  </si>
  <si>
    <t xml:space="preserve"> Pendenti Finali</t>
  </si>
  <si>
    <t>CORTE DI APPELLO DI CATANIA</t>
  </si>
  <si>
    <t>Durate in anni</t>
  </si>
  <si>
    <t>PRIMO GRADO</t>
  </si>
  <si>
    <t>Delibazioni ai sensi dell'art.8 L.121/85</t>
  </si>
  <si>
    <t>Delibazioni ai sensi dell'art.67 L.218/95</t>
  </si>
  <si>
    <t>Esecutorietà lodi arbitrali stranieri art.839 c.p.c.</t>
  </si>
  <si>
    <t>Impugnazione lodi arbitrali nazionali art.828 c.p.c.</t>
  </si>
  <si>
    <t>Procedimenti relativi al Tribunale delle acque pubbliche</t>
  </si>
  <si>
    <t>Controversie elettorali (elettorato attivo)</t>
  </si>
  <si>
    <t>Altri procedimenti contenziosi</t>
  </si>
  <si>
    <t>Equa riparazione per violazione del termine ragionevole del processo</t>
  </si>
  <si>
    <t>Totale Primo grado</t>
  </si>
  <si>
    <t>GRADO DI APPELLO</t>
  </si>
  <si>
    <t>Procedimenti relativi agli usi civici</t>
  </si>
  <si>
    <t>Controversie agrarie</t>
  </si>
  <si>
    <t>Controversie elettorali (elettorato passivo)</t>
  </si>
  <si>
    <t>Controversie in materia di lavoro - pubblico impiego</t>
  </si>
  <si>
    <t>Altre controversie in materia di lavoro</t>
  </si>
  <si>
    <t>Controversie in materia di previdenza ed assistenza</t>
  </si>
  <si>
    <t>Procedimenti in materia di proprietà industriale ed intellettuale</t>
  </si>
  <si>
    <t>Procedimenti in materia di diritto societario - rito ordinario</t>
  </si>
  <si>
    <t>Procedimenti in materia di diritto societario - rito camerale</t>
  </si>
  <si>
    <t>Totale Grado di Appello</t>
  </si>
  <si>
    <t>Totale Generale</t>
  </si>
  <si>
    <t>Andamento dei procedimenti di cognizione ordinaria nell'ultimo quinquennio presso la Corte di Appello</t>
  </si>
  <si>
    <t>Andamento dei procedimenti in materia di Lavoro e Previdenza nell´ultimo quinquennio presso la Corte di Appello</t>
  </si>
  <si>
    <t>Procedimenti in materia di divorzio cont.</t>
  </si>
  <si>
    <t>Procedimenti in materia minorile cont.</t>
  </si>
  <si>
    <t>Procedimenti in materia di separazione dei coniugi VG</t>
  </si>
  <si>
    <t>Procedimenti in materia di Divorzio VG</t>
  </si>
  <si>
    <t>Procedimenti in materia minorile VG</t>
  </si>
  <si>
    <t>Altri procedimenti VG</t>
  </si>
  <si>
    <t>Procedimenti in materia di separazione dei coniugi cont.</t>
  </si>
  <si>
    <t>Procedimenti non contenziosi (VG)</t>
  </si>
  <si>
    <t>1/7/2011 - 30/6/2012</t>
  </si>
  <si>
    <t>TOTALE DISTRETTO</t>
  </si>
  <si>
    <t>Procedimenti speciali</t>
  </si>
  <si>
    <t>Uffici del Giudice di Pace
raggruppati per circondario</t>
  </si>
  <si>
    <t>Opposizioni alle sanzioni amministrative</t>
  </si>
  <si>
    <t>Cause relative ai beni mobili</t>
  </si>
  <si>
    <t>Risarcimento danni circolazione</t>
  </si>
  <si>
    <t>Ricorsi in materia di 
immigrazione</t>
  </si>
  <si>
    <t>ADRANO</t>
  </si>
  <si>
    <t>BELPASSO</t>
  </si>
  <si>
    <t>BRONTE</t>
  </si>
  <si>
    <t>Anno 2011</t>
  </si>
  <si>
    <t>Totale Tribunali rispondenti del Distretto</t>
  </si>
  <si>
    <t>Fonte: Ministero della Giustizia - D.O.G. - Direzione Generale di Statistica</t>
  </si>
  <si>
    <t>A.G. 2012/2013</t>
  </si>
  <si>
    <t>Variazione percentuale 
A.G. 2012/2013 vs. A.G. 2011/2012</t>
  </si>
  <si>
    <t>Brevetti</t>
  </si>
  <si>
    <t>1/7/2012 - 30/6/2013</t>
  </si>
  <si>
    <t>Procedimenti di Cognizione Ordinaria Iscritti, Definiti e Pendenti al 30 giugno 2013 presso Tribunali e Sezioni distaccate del Distretto di Catania</t>
  </si>
  <si>
    <t>Tribunale di CALTAGIRONE</t>
  </si>
  <si>
    <t>Sez. distaccata di GRAMMICHELE</t>
  </si>
  <si>
    <t>Totale Circondario di Caltagirone</t>
  </si>
  <si>
    <t>Tribunale di CATANIA</t>
  </si>
  <si>
    <t>Sez. distaccata di ACIREALE</t>
  </si>
  <si>
    <t>Sez. distaccata di ADRANO</t>
  </si>
  <si>
    <t>Sez. distaccata di BELPASSO</t>
  </si>
  <si>
    <t>Sez. distaccata di BRONTE</t>
  </si>
  <si>
    <t>Sez. distaccata di GIARRE</t>
  </si>
  <si>
    <t>Sez. distaccata di MASCALUCIA</t>
  </si>
  <si>
    <t>Sez. distaccata di PATERNO'</t>
  </si>
  <si>
    <t>Tribunale di RAGUSA</t>
  </si>
  <si>
    <t>Sez. distaccata di VITTORIA</t>
  </si>
  <si>
    <t>Tribunale di SIRACUSA</t>
  </si>
  <si>
    <t>Sez. distaccata di AUGUSTA</t>
  </si>
  <si>
    <t>Sez. distaccata di AVOLA</t>
  </si>
  <si>
    <t>Sez. distaccata di LENTINI</t>
  </si>
  <si>
    <t xml:space="preserve">Uffici del Giudice di Pace </t>
  </si>
  <si>
    <t>Giudice di Pace di CALTAGIRONE</t>
  </si>
  <si>
    <t>Giudice di Pace di GRAMMICHELE</t>
  </si>
  <si>
    <t>Giudice di Pace di MILITELLO IN VAL DI CATANIA</t>
  </si>
  <si>
    <t xml:space="preserve">Giudice di Pace di MINEO </t>
  </si>
  <si>
    <t>Giudice di Pace di NISCEMI</t>
  </si>
  <si>
    <t>Giudice di Pace di VIZZINI</t>
  </si>
  <si>
    <t xml:space="preserve">Totale Circondario di CALTAGIRONE </t>
  </si>
  <si>
    <t>Giudice di Pace di ACIREALE</t>
  </si>
  <si>
    <t>Giudice di Pace di ADRANO</t>
  </si>
  <si>
    <t>Giudice di Pace di BELPASSO</t>
  </si>
  <si>
    <t>Giudice di Pace di BIANCAVILLA</t>
  </si>
  <si>
    <t>Giudice di Pace di BRONTE</t>
  </si>
  <si>
    <t>Giudice di Pace di CATANIA</t>
  </si>
  <si>
    <t>Giudice di Pace di GIARRE</t>
  </si>
  <si>
    <t>Giudice di Pace di LINGUAGLOSSA</t>
  </si>
  <si>
    <t>Giudice di Pace di MASCALUCIA</t>
  </si>
  <si>
    <t>Giudice di Pace di PATERNO'</t>
  </si>
  <si>
    <t>Giudice di Pace di RAMACCA</t>
  </si>
  <si>
    <t>Giudice di Pace di RANDAZZO</t>
  </si>
  <si>
    <t>Giudice di Pace di TRECASTAGNI</t>
  </si>
  <si>
    <t>Totale Circondario di CATANIA</t>
  </si>
  <si>
    <t>Giudice di Pace di ISPICA</t>
  </si>
  <si>
    <t>Giudice di Pace di MODICA</t>
  </si>
  <si>
    <t>Giudice di Pace di SCICLI</t>
  </si>
  <si>
    <t>Giudice di Pace di CHIARAMONTE</t>
  </si>
  <si>
    <t>Giudice di Pace di COMISO</t>
  </si>
  <si>
    <t>Giudice di Pace di RAGUSA</t>
  </si>
  <si>
    <t>Giudice di Pace di VITTORIA</t>
  </si>
  <si>
    <t>Totale Circondario di RAGUSA</t>
  </si>
  <si>
    <t>Giudice di Pace di AUGUSTA</t>
  </si>
  <si>
    <t>Giudice di Pace di AVOLA</t>
  </si>
  <si>
    <t>Giudice di Pace di FLORIDIA</t>
  </si>
  <si>
    <t>Giudice di Pace di LENTINI</t>
  </si>
  <si>
    <t>Giudice di Pace di NOTO</t>
  </si>
  <si>
    <t>Giudice di Pace di PACHINO</t>
  </si>
  <si>
    <t>Giudice di Pace di PALAZZOLO ACREIDE</t>
  </si>
  <si>
    <t>Giudice di Pace di SIRACUSA</t>
  </si>
  <si>
    <t>Giudice di Pace di SORTINO</t>
  </si>
  <si>
    <t>Totale circondario di SIRACUSA</t>
  </si>
  <si>
    <t>Sentenze Monocratiche</t>
  </si>
  <si>
    <t>Anno 2012</t>
  </si>
  <si>
    <t>Totale procedimenti pendenti al 31.12.12</t>
  </si>
  <si>
    <t>Andamento dei procedimenti di Cognizione Ordinaria nell'ultimo quinquennio presso la Corte di Appello</t>
  </si>
  <si>
    <r>
      <t xml:space="preserve">Tav. 1.1 - Procedimenti civili iscritti, definiti e pendenti a fine periodo nell'A.G. 2013/2014 presso </t>
    </r>
    <r>
      <rPr>
        <b/>
        <u val="single"/>
        <sz val="10"/>
        <rFont val="Calibri"/>
        <family val="2"/>
      </rPr>
      <t>Corte d'Appello e Tribunale per i Minorenni</t>
    </r>
    <r>
      <rPr>
        <b/>
        <sz val="10"/>
        <rFont val="Calibri"/>
        <family val="2"/>
      </rPr>
      <t>. Confronto con l'A.G. precedente e variazioni percentuali.</t>
    </r>
  </si>
  <si>
    <t>A.G. 2013/2014</t>
  </si>
  <si>
    <r>
      <t xml:space="preserve">Tav. 1.1 - Procedimenti civili iscritti, definiti e pendenti a fine periodo nell'A.G. 2013/2014 presso </t>
    </r>
    <r>
      <rPr>
        <b/>
        <u val="single"/>
        <sz val="10"/>
        <rFont val="Calibri"/>
        <family val="2"/>
      </rPr>
      <t>Uffici del Giudice di Pace</t>
    </r>
    <r>
      <rPr>
        <b/>
        <sz val="10"/>
        <rFont val="Calibri"/>
        <family val="2"/>
      </rPr>
      <t xml:space="preserve">. Confronto con l'A.G. precedente e variazioni percentuali. </t>
    </r>
    <r>
      <rPr>
        <b/>
        <u val="single"/>
        <sz val="10"/>
        <rFont val="Calibri"/>
        <family val="2"/>
      </rPr>
      <t xml:space="preserve">Sedi completamente rispondenti </t>
    </r>
  </si>
  <si>
    <r>
      <t xml:space="preserve">Tav. 1.1 - Procedimenti civili iscritti, definiti e pendenti a fine periodo nell'A.G. 2013/2014 presso </t>
    </r>
    <r>
      <rPr>
        <b/>
        <u val="single"/>
        <sz val="10"/>
        <rFont val="Calibri"/>
        <family val="2"/>
      </rPr>
      <t>Tribunali e relative Sezioni distaccate</t>
    </r>
    <r>
      <rPr>
        <b/>
        <sz val="10"/>
        <rFont val="Calibri"/>
        <family val="2"/>
      </rPr>
      <t xml:space="preserve">. Confronto con l'A.G. precedente e variazioni percentuali. </t>
    </r>
    <r>
      <rPr>
        <b/>
        <u val="single"/>
        <sz val="10"/>
        <rFont val="Calibri"/>
        <family val="2"/>
      </rPr>
      <t xml:space="preserve">Sedi completamente rispondenti </t>
    </r>
  </si>
  <si>
    <t>Variazione percentuale 
A.G. 2013/2014 vs. A.G. 2012/2013</t>
  </si>
  <si>
    <r>
      <t xml:space="preserve">Tav. 1.1 - Procedimenti civili iscritti, definiti e pendenti a fine periodo nell'A.G. 2013/2014 presso </t>
    </r>
    <r>
      <rPr>
        <b/>
        <u val="single"/>
        <sz val="8"/>
        <rFont val="Calibri"/>
        <family val="2"/>
      </rPr>
      <t>Corte d'Appello e Tribunale per i Minorenni</t>
    </r>
    <r>
      <rPr>
        <b/>
        <sz val="8"/>
        <rFont val="Calibri"/>
        <family val="2"/>
      </rPr>
      <t>. Confronto con l'A.G. precedente e variazioni percentuali.</t>
    </r>
  </si>
  <si>
    <t>Tav_1.1a - Indici di Ricambio, Indici di Smaltimento e Durata in anni per Tribunali e Sezioni distaccate - A.G. 2013/2014 e A.G. 2012/2013 e relative variazioni percentuali</t>
  </si>
  <si>
    <t>Tav. 1.2 - Variazione pendenze, Indici di Ricambio, Indici di Smaltimento e Durata in anni,  per principali materie di competenza di Tribunali e Sezioni distaccate - A.G. 2013/2014. [1/3]</t>
  </si>
  <si>
    <t>1/7/2014 - 30/6/2014</t>
  </si>
  <si>
    <t>1/7/2013 - 30/6/2014</t>
  </si>
  <si>
    <t>1/7/2013- 30/6/2014</t>
  </si>
  <si>
    <t>Tav. 1.3a - Procedimenti civili definiti con sentenza nell'anno 2013 secondo l'anno di iscrizione. Corte di Appello</t>
  </si>
  <si>
    <r>
      <t xml:space="preserve">Tav. 1.3b - Procedimenti civili definiti con sentenza nell'anno 2013 secondo l'anno di iscrizione. Tribunali e sezioni distaccate
</t>
    </r>
    <r>
      <rPr>
        <b/>
        <u val="single"/>
        <sz val="9"/>
        <rFont val="Calibri"/>
        <family val="2"/>
      </rPr>
      <t>Sedi completamente rispondenti</t>
    </r>
  </si>
  <si>
    <r>
      <t xml:space="preserve">Tav. 1.3c - Procedimenti civili definiti con sentenza nell'anno 2013 secondo l'anno di iscrizione. Giudici di Pace </t>
    </r>
    <r>
      <rPr>
        <b/>
        <u val="single"/>
        <sz val="9"/>
        <rFont val="Calibri"/>
        <family val="2"/>
      </rPr>
      <t>aggragati per Circondario</t>
    </r>
  </si>
  <si>
    <t xml:space="preserve">Tav. 1.3 - Procedimenti civili definiti con sentenza  nell'anno 2013 secondo l'anno di iscrizione presso Tribunali e Sezioni distaccate, complessivi per circondario. </t>
  </si>
  <si>
    <t>Tav. 1.4a Sentenze secondo i termini di pubblicazione  (% sul totale delle sentenze pubblicate) Anno 2013 - Corte di Appello</t>
  </si>
  <si>
    <t xml:space="preserve">Tav. 1.4b Sentenze secondo i termini di pubblicazione (% sul totale delle sentenze pubblicate) Anno 2013 - Tribunali </t>
  </si>
  <si>
    <t>Tav. 1.4c Sentenze secondo i termini di pubblicazione  (% sul totale  delle sentenze pubblicate) Anno 2013 - Giudici di pace</t>
  </si>
  <si>
    <t>Anno 2013</t>
  </si>
  <si>
    <t>Prima del 1997</t>
  </si>
  <si>
    <r>
      <t xml:space="preserve">Tav. 1.5 - Numero dei procedimenti civili pendenti al 31 dicembre 2013 per anno di iscrizione e per tipologia di ufficio 
</t>
    </r>
    <r>
      <rPr>
        <b/>
        <u val="single"/>
        <sz val="12"/>
        <rFont val="Calibri"/>
        <family val="2"/>
      </rPr>
      <t>Sedi rispondenti</t>
    </r>
  </si>
  <si>
    <t>Tav. 1.6 - Tribunale per i minorenni: procedimenti civili iscritti, definiti e pendenti a fine periodo nell'A.G. 2013/2014.</t>
  </si>
  <si>
    <t>Tav. 1.7 - Tribunale per i minorenni: Numero di provvedimenti relativi alla sottrazione dei minori  nell'A.G. 2013/2014.</t>
  </si>
  <si>
    <t>Movimento dei procedimenti civili nell'anno giudiziario 2013/2014</t>
  </si>
  <si>
    <r>
      <t xml:space="preserve">Tav. 1.3b - Procedimenti civili definiti con sentenza nell'anno 2013 secondo l'anno di iscrizione. Tribunali e sezioni distaccate </t>
    </r>
    <r>
      <rPr>
        <b/>
        <u val="single"/>
        <sz val="9"/>
        <rFont val="Calibri"/>
        <family val="2"/>
      </rPr>
      <t>aggregati per Circondario</t>
    </r>
  </si>
  <si>
    <t>Pendenti al 30/6/2014</t>
  </si>
  <si>
    <t>Pendenti all'1/7/2013</t>
  </si>
  <si>
    <t>Tav. 1.1 - Procedimenti di Mediazione civile iscritti, definiti e pendenti, raggruppati per circondario e  Organismo di Mediazione rispondente.
Periodo: 1°Luglio 2013 - 30 Giugno 2014</t>
  </si>
  <si>
    <t>Anno giudiziario 2013/2014</t>
  </si>
  <si>
    <t>Circondari (*)</t>
  </si>
  <si>
    <t>Sede</t>
  </si>
  <si>
    <t>Organismi di mediazione</t>
  </si>
  <si>
    <t>Pendenti Iniziali</t>
  </si>
  <si>
    <t>Mancata comparizione aderente</t>
  </si>
  <si>
    <t>Aderente comparso
Accordo raggiunto</t>
  </si>
  <si>
    <t>Aderente comparso
Accordo non raggiunto</t>
  </si>
  <si>
    <t>Totale definiti</t>
  </si>
  <si>
    <t>Acireale</t>
  </si>
  <si>
    <t>ORGANISMI PRIVATI</t>
  </si>
  <si>
    <t>Catania</t>
  </si>
  <si>
    <t>CAMERA DI COMMERCIO</t>
  </si>
  <si>
    <t>Giarre</t>
  </si>
  <si>
    <t>CATANIA Totale</t>
  </si>
  <si>
    <t>Ragusa</t>
  </si>
  <si>
    <t>ALTRI ORDINI PROFESSIONALI</t>
  </si>
  <si>
    <t>Modica</t>
  </si>
  <si>
    <t>ORDINE AVVOCATI</t>
  </si>
  <si>
    <t>RAGUSA Totale</t>
  </si>
  <si>
    <t>Noto</t>
  </si>
  <si>
    <t>SIRACUSA Totale</t>
  </si>
  <si>
    <t>%procedimenti definiti secondo le modalità di definizione</t>
  </si>
  <si>
    <t>Percentuale esiti con aderente comparso</t>
  </si>
  <si>
    <t>% accordo raggiunto</t>
  </si>
  <si>
    <t>% accordo non raggiunto</t>
  </si>
  <si>
    <t>Totale procedimenti definiti con entrambe le Parti presenti</t>
  </si>
  <si>
    <t>(*) uno o più circondari possono mancare a causa dell'assenza di Organismi di mediazione in quel circondario oppure per la mancata comunicazione dei dati da parte degli stessi.</t>
  </si>
  <si>
    <t>Fonte: Ministero Giustizia - D.O.G.- Direzione Generale di Statistica</t>
  </si>
  <si>
    <t>Dati da rilevazione aggiornata all'8 ottobre 2014</t>
  </si>
  <si>
    <r>
      <t>Nel Distretto di Catania al 30 giugno 2014, gli Organismi di Mediazione registrati con sede legale nel Distretto sono 32</t>
    </r>
    <r>
      <rPr>
        <b/>
        <sz val="11"/>
        <color indexed="8"/>
        <rFont val="Calibri"/>
        <family val="2"/>
      </rPr>
      <t>,</t>
    </r>
    <r>
      <rPr>
        <sz val="10"/>
        <rFont val="Arial"/>
        <family val="0"/>
      </rPr>
      <t xml:space="preserve"> di cui 16 completamente rispondenti nel periodo considerato.</t>
    </r>
  </si>
  <si>
    <t>Tav. 1.2 - Procedimenti di Mediazione civile iscritti, raggruppati per natura della controversia
Periodo: 1°Luglio 2013 - 30 Giugno 2014</t>
  </si>
  <si>
    <t>Natura</t>
  </si>
  <si>
    <t>Contratti bancari</t>
  </si>
  <si>
    <t>Diritti reali</t>
  </si>
  <si>
    <t>Altra natura</t>
  </si>
  <si>
    <t>Locazione</t>
  </si>
  <si>
    <t>Divisione</t>
  </si>
  <si>
    <t>Risarcimento danni da responsabilità medica</t>
  </si>
  <si>
    <t>Condominio</t>
  </si>
  <si>
    <t>Contratti assicurativi</t>
  </si>
  <si>
    <t>Successioni ereditarie</t>
  </si>
  <si>
    <t>Contratti finanziari</t>
  </si>
  <si>
    <t>Comodato</t>
  </si>
  <si>
    <t>Affitto di aziende</t>
  </si>
  <si>
    <t>Risarcimento danni da diffamazione a mezzo stampa</t>
  </si>
  <si>
    <t>Patti di famiglia</t>
  </si>
  <si>
    <t>Risarcimento danni da circolazione veicoli e natanti</t>
  </si>
  <si>
    <t>Tav. 1.3 - Procedimenti di Mediazione civile, raggruppati per categoria della mediazione e circondario.
Periodo: 1°Luglio 2013 - 30 Giugno 2014</t>
  </si>
  <si>
    <t>Rilevazione Campionaria</t>
  </si>
  <si>
    <t>Categoria</t>
  </si>
  <si>
    <t>Incidenza Categoria</t>
  </si>
  <si>
    <t>Volontaria</t>
  </si>
  <si>
    <t>Obbligatoria in quanto condizione di procedibilità ai sensi di legge</t>
  </si>
  <si>
    <t>Obbligatoria in quanto prevista da clausola contrattuale</t>
  </si>
  <si>
    <t>Demandata dal giudice</t>
  </si>
  <si>
    <t>Incidenza circoscrizione</t>
  </si>
  <si>
    <t>Tav. 1.4 - Durata media in giorni dei procedimenti di Mediazione civile  raggruppati per categoria
Periodo: 1°Luglio 2013 - 30 Giugno 2014</t>
  </si>
  <si>
    <t xml:space="preserve">Durata Media in giorni nel Distretto
</t>
  </si>
  <si>
    <t>Tav. 1.5 - Procedimenti di Mediazione civile relativi alle materie non obbligatorie con parti assistite da avvocato
Periodo: 1°Luglio 2013 - 30 Giugno 2014</t>
  </si>
  <si>
    <t>Parti assistite da avvocato</t>
  </si>
  <si>
    <t>Incidenza Distretto</t>
  </si>
  <si>
    <t>% Procedimenti con proponenti assistiti da avvocato</t>
  </si>
  <si>
    <t>% Procedimenti con aderenti assistiti da avvocato</t>
  </si>
  <si>
    <t xml:space="preserve">Giudice di Pace di Ispica </t>
  </si>
  <si>
    <t xml:space="preserve">Giudice di Pace di Scicli </t>
  </si>
  <si>
    <t>_</t>
  </si>
  <si>
    <t>Aggiornamento al 14/11/2014</t>
  </si>
  <si>
    <t>Nuovi Iscritti</t>
  </si>
  <si>
    <t xml:space="preserve">Giudice di Pace di Modica </t>
  </si>
  <si>
    <t xml:space="preserve">Aggiornamento al 14/11/2014 </t>
  </si>
  <si>
    <t xml:space="preserve">Risultano parziali i dati dei GDP di: Militello in Val di Catania, Niscemi, Vizzini, Linguaglossa, Augusta, Noto, Pachino, Siracusa </t>
  </si>
  <si>
    <t>I GDP di Mineo, Giarre e Trecastagni sono inadempienti</t>
  </si>
  <si>
    <t xml:space="preserve"> exTribunale di Modica</t>
  </si>
  <si>
    <t>ex Tribunale di Modica</t>
  </si>
  <si>
    <t xml:space="preserve"> Brevetti</t>
  </si>
  <si>
    <t>Movimento dei procedimenti civili presso i Tribunali e Sezioni distaccate del Distretto di Catania distinti per principali materie - 
A.G. 2013/2014</t>
  </si>
  <si>
    <r>
      <t xml:space="preserve">Tav. 1.2a - Procedimenti civili iscritti, definiti e pendenti a fine periodo nell'A.G. 2013/2014 - </t>
    </r>
    <r>
      <rPr>
        <b/>
        <u val="single"/>
        <sz val="8"/>
        <rFont val="Calibri"/>
        <family val="2"/>
      </rPr>
      <t>Corte d'Appello, Tribunali e Sezioni distaccate</t>
    </r>
    <r>
      <rPr>
        <b/>
        <sz val="8"/>
        <rFont val="Calibri"/>
        <family val="2"/>
      </rPr>
      <t xml:space="preserve">. Dettaglio principali materie [1/3]. </t>
    </r>
  </si>
  <si>
    <t>NB. Risultano parzialmente rispondenti le ex sezioni distaccate di: Acireale, Belpasso, Bronte, Giarre, Grammichele, Mascalucia, Augusta, Avola e Lentini</t>
  </si>
  <si>
    <t>Risultano parzialmente rispondenti i GDP di: Militello in Val di Catania e Niscemi</t>
  </si>
  <si>
    <t>Risultano inadempienti i GDP di Mineo, Giarre e Trecastagni</t>
  </si>
  <si>
    <t>ex Tribunale di MODICA</t>
  </si>
  <si>
    <t>Circondario di Modica (ex Tribunale di Modica)</t>
  </si>
  <si>
    <t>Gli uffici non presenti in tabella, risultano essere inadempienti</t>
  </si>
  <si>
    <t>I GDP di Militello in Val di Catania e Niscemi sono parzialmente rispondenti</t>
  </si>
  <si>
    <t>Risultano parzialmente rispondenti le ex sezioni distaccate di: Grammichele, Paternò, Augusta, Avola, Lentini.</t>
  </si>
  <si>
    <t>Gli uffici evidenziati in rosso sono inadempienti</t>
  </si>
  <si>
    <t xml:space="preserve"> Risultano parzialmente rispondenti i GDP di: Militello in Val di Catania, Niscemi, Vizzini, Linguaglossa, Augusta, Noto, Pachino, Siracusa </t>
  </si>
  <si>
    <r>
      <t xml:space="preserve">Tav. 1.1 - Procedimenti civili iscritti, definiti e pendenti a fine periodo nell'A.G. 2013/2014 presso </t>
    </r>
    <r>
      <rPr>
        <b/>
        <u val="single"/>
        <sz val="8"/>
        <rFont val="Calibri"/>
        <family val="2"/>
      </rPr>
      <t>Uffici del Giudice di Pace</t>
    </r>
    <r>
      <rPr>
        <b/>
        <sz val="8"/>
        <rFont val="Calibri"/>
        <family val="2"/>
      </rPr>
      <t>. Confronto con l'A.G. precedente e variazioni percentuali.</t>
    </r>
  </si>
  <si>
    <r>
      <t xml:space="preserve">Tav. 1.1 - Procedimenti civili iscritti, definiti e pendenti a fine periodo nell'A.G. 2013/2014 presso </t>
    </r>
    <r>
      <rPr>
        <b/>
        <u val="single"/>
        <sz val="8"/>
        <rFont val="Calibri"/>
        <family val="2"/>
      </rPr>
      <t>Tribunali e relative Sezioni distaccate</t>
    </r>
    <r>
      <rPr>
        <b/>
        <sz val="8"/>
        <rFont val="Calibri"/>
        <family val="2"/>
      </rPr>
      <t>. Confronto con l'A.G. precedente e variazioni percentuali.</t>
    </r>
  </si>
  <si>
    <t>FONTE: CUBI DGSTAT. Dati aggiornati al 14/11/2014</t>
  </si>
  <si>
    <r>
      <t xml:space="preserve">Tav. 1.2b - Procedimenti civili iscritti, definiti e pendenti a fine periodo nell'A.G. 2011/2012 di competenza di </t>
    </r>
    <r>
      <rPr>
        <b/>
        <u val="single"/>
        <sz val="8"/>
        <rFont val="Calibri"/>
        <family val="2"/>
      </rPr>
      <t>Corte d'Appello e Tribunali</t>
    </r>
    <r>
      <rPr>
        <b/>
        <sz val="8"/>
        <rFont val="Calibri"/>
        <family val="2"/>
      </rPr>
      <t xml:space="preserve">. Dettaglio principali materie [3/3]. </t>
    </r>
  </si>
  <si>
    <r>
      <t>Tav. 1.2b - Procedimenti civili iscritti, definiti e pendenti a fine periodo nell'A.G. 2013/2014 -</t>
    </r>
    <r>
      <rPr>
        <b/>
        <u val="single"/>
        <sz val="8"/>
        <rFont val="Calibri"/>
        <family val="2"/>
      </rPr>
      <t xml:space="preserve"> C</t>
    </r>
    <r>
      <rPr>
        <b/>
        <u val="single"/>
        <sz val="8"/>
        <rFont val="Calibri"/>
        <family val="2"/>
      </rPr>
      <t>orte d'Appello e Tribunali</t>
    </r>
    <r>
      <rPr>
        <b/>
        <sz val="8"/>
        <rFont val="Calibri"/>
        <family val="2"/>
      </rPr>
      <t xml:space="preserve">. Dettaglio principali materie [2/3]. </t>
    </r>
  </si>
  <si>
    <t xml:space="preserve">Risultano parzialmente le ex sezioni distaccate le ex sezioni distaccate di Augusta, Avola, Lentini, Grammichele, Paternò </t>
  </si>
  <si>
    <t xml:space="preserve">Tav. 1.2c - Procedimenti civili iscritti, definiti e pendenti a fine periodo nell'A.G. 2013/2014. Dettaglio materie di competenza del Giudice di Pace [3/3]. </t>
  </si>
  <si>
    <t xml:space="preserve">Tav. 1.3c - Procedimenti civili definiti con sentenza nell'anno 2013 secondo l'anno di iscrizione. Giudici di Pace
</t>
  </si>
  <si>
    <t>n.b. In questa tabella, il circondario di Ragusa, comprende anche l'ex Tribunale di Modica</t>
  </si>
  <si>
    <t xml:space="preserve">Incidenza dei nuovi iscritti sul totale degli iscritti per materia </t>
  </si>
  <si>
    <r>
      <t xml:space="preserve">Tav. 1.2b - Procedimenti civili iscritti, definiti e pendenti a fine periodo nell'A.G. 2013/2014 di competenza di </t>
    </r>
    <r>
      <rPr>
        <b/>
        <u val="single"/>
        <sz val="8"/>
        <rFont val="Calibri"/>
        <family val="2"/>
      </rPr>
      <t>Corte d'Appello e Tribunali</t>
    </r>
    <r>
      <rPr>
        <b/>
        <sz val="8"/>
        <rFont val="Calibri"/>
        <family val="2"/>
      </rPr>
      <t xml:space="preserve">. Dettaglio principali materie [2/3]. </t>
    </r>
  </si>
  <si>
    <r>
      <t xml:space="preserve">Tav. 1.2b - Procedimenti civili iscritti, definiti e pendenti a fine periodo nell'A.G. 2013/2014 di competenza di </t>
    </r>
    <r>
      <rPr>
        <b/>
        <u val="single"/>
        <sz val="8"/>
        <rFont val="Calibri"/>
        <family val="2"/>
      </rPr>
      <t>Corte d'Appello e Tribunali</t>
    </r>
    <r>
      <rPr>
        <b/>
        <sz val="8"/>
        <rFont val="Calibri"/>
        <family val="2"/>
      </rPr>
      <t xml:space="preserve">. Dettaglio principali materie [3/3]. </t>
    </r>
  </si>
  <si>
    <t>Tav. 1.2c - Procedimenti civili iscritti, definiti e pendenti a fine periodo nell'A.G. 2013/2014. Dettaglio materie di competenza del Giudice di Pace [3/3].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</si>
</sst>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_(* \(#,##0\);_(* &quot;-&quot;_);_(@_)"/>
    <numFmt numFmtId="166" formatCode="_(&quot;$&quot;* #,##0_);_(&quot;$&quot;* \(#,##0\);_(&quot;$&quot;* &quot;-&quot;_);_(@_)"/>
    <numFmt numFmtId="167" formatCode="#,###;\-#,###;0"/>
    <numFmt numFmtId="168" formatCode="0.00000"/>
    <numFmt numFmtId="169" formatCode="0.0000"/>
    <numFmt numFmtId="170" formatCode="0.000"/>
    <numFmt numFmtId="171" formatCode="0.0"/>
    <numFmt numFmtId="172" formatCode="_-* #,##0_-;\-* #,##0_-;_-* &quot;-&quot;??_-;_-@_-"/>
    <numFmt numFmtId="173" formatCode="#,##0_ ;\-#,##0\ "/>
    <numFmt numFmtId="174" formatCode="&quot;Sì&quot;;&quot;Sì&quot;;&quot;No&quot;"/>
    <numFmt numFmtId="175" formatCode="&quot;Vero&quot;;&quot;Vero&quot;;&quot;Falso&quot;"/>
    <numFmt numFmtId="176" formatCode="&quot;Attivo&quot;;&quot;Attivo&quot;;&quot;Inattivo&quot;"/>
    <numFmt numFmtId="177" formatCode="[$€-2]\ #.##000_);[Red]\([$€-2]\ #.##000\)"/>
  </numFmts>
  <fonts count="147">
    <font>
      <sz val="10"/>
      <name val="Arial"/>
      <family val="0"/>
    </font>
    <font>
      <sz val="11"/>
      <color indexed="8"/>
      <name val="Calibri"/>
      <family val="2"/>
    </font>
    <font>
      <sz val="10"/>
      <color indexed="8"/>
      <name val="Arial"/>
      <family val="2"/>
    </font>
    <font>
      <b/>
      <sz val="10"/>
      <name val="Calibri"/>
      <family val="2"/>
    </font>
    <font>
      <b/>
      <u val="single"/>
      <sz val="10"/>
      <name val="Calibri"/>
      <family val="2"/>
    </font>
    <font>
      <b/>
      <sz val="8"/>
      <name val="Calibri"/>
      <family val="2"/>
    </font>
    <font>
      <b/>
      <sz val="8"/>
      <name val="Arial"/>
      <family val="2"/>
    </font>
    <font>
      <b/>
      <u val="single"/>
      <sz val="8"/>
      <name val="Calibri"/>
      <family val="2"/>
    </font>
    <font>
      <sz val="8"/>
      <name val="Tahoma"/>
      <family val="2"/>
    </font>
    <font>
      <b/>
      <sz val="8"/>
      <name val="Tahoma"/>
      <family val="2"/>
    </font>
    <font>
      <b/>
      <i/>
      <sz val="8"/>
      <color indexed="16"/>
      <name val="Arial"/>
      <family val="2"/>
    </font>
    <font>
      <sz val="8"/>
      <name val="Arial"/>
      <family val="2"/>
    </font>
    <font>
      <b/>
      <sz val="10"/>
      <name val="Arial"/>
      <family val="2"/>
    </font>
    <font>
      <b/>
      <i/>
      <sz val="8"/>
      <color indexed="8"/>
      <name val="Arial"/>
      <family val="2"/>
    </font>
    <font>
      <sz val="9"/>
      <name val="Arial"/>
      <family val="2"/>
    </font>
    <font>
      <sz val="9"/>
      <name val="Calibri"/>
      <family val="2"/>
    </font>
    <font>
      <sz val="9"/>
      <color indexed="8"/>
      <name val="Calibri"/>
      <family val="2"/>
    </font>
    <font>
      <i/>
      <sz val="9"/>
      <color indexed="8"/>
      <name val="Calibri"/>
      <family val="2"/>
    </font>
    <font>
      <b/>
      <sz val="9"/>
      <color indexed="8"/>
      <name val="Calibri"/>
      <family val="2"/>
    </font>
    <font>
      <sz val="8"/>
      <name val="Times New Roman"/>
      <family val="1"/>
    </font>
    <font>
      <b/>
      <sz val="8"/>
      <name val="Times New Roman"/>
      <family val="1"/>
    </font>
    <font>
      <b/>
      <sz val="8"/>
      <color indexed="8"/>
      <name val="Tahoma"/>
      <family val="2"/>
    </font>
    <font>
      <b/>
      <sz val="9"/>
      <name val="Times New Roman"/>
      <family val="1"/>
    </font>
    <font>
      <sz val="9"/>
      <name val="Times New Roman"/>
      <family val="1"/>
    </font>
    <font>
      <b/>
      <i/>
      <sz val="9"/>
      <name val="Times New Roman"/>
      <family val="1"/>
    </font>
    <font>
      <b/>
      <i/>
      <sz val="8"/>
      <name val="Times New Roman"/>
      <family val="1"/>
    </font>
    <font>
      <sz val="8"/>
      <name val="Calibri"/>
      <family val="2"/>
    </font>
    <font>
      <sz val="8"/>
      <color indexed="8"/>
      <name val="Calibri"/>
      <family val="2"/>
    </font>
    <font>
      <b/>
      <i/>
      <sz val="8"/>
      <color indexed="8"/>
      <name val="Calibri"/>
      <family val="2"/>
    </font>
    <font>
      <b/>
      <sz val="8"/>
      <color indexed="8"/>
      <name val="Calibri"/>
      <family val="2"/>
    </font>
    <font>
      <b/>
      <sz val="8"/>
      <color indexed="16"/>
      <name val="Calibri"/>
      <family val="2"/>
    </font>
    <font>
      <b/>
      <sz val="9"/>
      <name val="Calibri"/>
      <family val="2"/>
    </font>
    <font>
      <b/>
      <i/>
      <sz val="9"/>
      <color indexed="8"/>
      <name val="Calibri"/>
      <family val="2"/>
    </font>
    <font>
      <sz val="10"/>
      <name val="Calibri"/>
      <family val="2"/>
    </font>
    <font>
      <b/>
      <sz val="12"/>
      <name val="Calibri"/>
      <family val="2"/>
    </font>
    <font>
      <b/>
      <sz val="10"/>
      <color indexed="16"/>
      <name val="Calibri"/>
      <family val="2"/>
    </font>
    <font>
      <b/>
      <i/>
      <sz val="9"/>
      <name val="Calibri"/>
      <family val="2"/>
    </font>
    <font>
      <b/>
      <u val="single"/>
      <sz val="9"/>
      <name val="Calibri"/>
      <family val="2"/>
    </font>
    <font>
      <b/>
      <i/>
      <sz val="10"/>
      <color indexed="8"/>
      <name val="Calibri"/>
      <family val="2"/>
    </font>
    <font>
      <b/>
      <u val="single"/>
      <sz val="12"/>
      <name val="Calibri"/>
      <family val="2"/>
    </font>
    <font>
      <b/>
      <sz val="11"/>
      <name val="Calibri"/>
      <family val="2"/>
    </font>
    <font>
      <sz val="10"/>
      <color indexed="8"/>
      <name val="Calibri"/>
      <family val="2"/>
    </font>
    <font>
      <sz val="9.2"/>
      <color indexed="8"/>
      <name val="Calibri"/>
      <family val="2"/>
    </font>
    <font>
      <sz val="12"/>
      <color indexed="63"/>
      <name val="Calibri"/>
      <family val="2"/>
    </font>
    <font>
      <i/>
      <sz val="10"/>
      <color indexed="63"/>
      <name val="Calibri"/>
      <family val="2"/>
    </font>
    <font>
      <sz val="11"/>
      <name val="Calibri"/>
      <family val="2"/>
    </font>
    <font>
      <sz val="12"/>
      <name val="Calibri"/>
      <family val="2"/>
    </font>
    <font>
      <b/>
      <sz val="12"/>
      <color indexed="8"/>
      <name val="Calibri"/>
      <family val="2"/>
    </font>
    <font>
      <b/>
      <sz val="10"/>
      <color indexed="20"/>
      <name val="Calibri"/>
      <family val="2"/>
    </font>
    <font>
      <i/>
      <sz val="9"/>
      <color indexed="10"/>
      <name val="Calibri"/>
      <family val="2"/>
    </font>
    <font>
      <b/>
      <sz val="11"/>
      <color indexed="20"/>
      <name val="Calibri"/>
      <family val="2"/>
    </font>
    <font>
      <sz val="10"/>
      <color indexed="10"/>
      <name val="Calibri"/>
      <family val="2"/>
    </font>
    <font>
      <i/>
      <sz val="9"/>
      <name val="Calibri"/>
      <family val="2"/>
    </font>
    <font>
      <b/>
      <sz val="10"/>
      <color indexed="30"/>
      <name val="Calibri"/>
      <family val="2"/>
    </font>
    <font>
      <i/>
      <sz val="8"/>
      <color indexed="8"/>
      <name val="Calibri"/>
      <family val="2"/>
    </font>
    <font>
      <b/>
      <sz val="8"/>
      <color indexed="10"/>
      <name val="Calibri"/>
      <family val="2"/>
    </font>
    <font>
      <b/>
      <i/>
      <sz val="8"/>
      <name val="Calibri"/>
      <family val="2"/>
    </font>
    <font>
      <i/>
      <sz val="8"/>
      <name val="Calibri"/>
      <family val="2"/>
    </font>
    <font>
      <sz val="8"/>
      <color indexed="10"/>
      <name val="Calibri"/>
      <family val="2"/>
    </font>
    <font>
      <b/>
      <i/>
      <sz val="8"/>
      <color indexed="10"/>
      <name val="Calibri"/>
      <family val="2"/>
    </font>
    <font>
      <b/>
      <i/>
      <sz val="9"/>
      <color indexed="16"/>
      <name val="Calibri"/>
      <family val="2"/>
    </font>
    <font>
      <sz val="9"/>
      <color indexed="10"/>
      <name val="Calibri"/>
      <family val="2"/>
    </font>
    <font>
      <sz val="8"/>
      <color indexed="10"/>
      <name val="Arial"/>
      <family val="2"/>
    </font>
    <font>
      <b/>
      <sz val="8"/>
      <color indexed="10"/>
      <name val="Arial"/>
      <family val="2"/>
    </font>
    <font>
      <b/>
      <sz val="9"/>
      <color indexed="20"/>
      <name val="Calibri"/>
      <family val="2"/>
    </font>
    <font>
      <b/>
      <i/>
      <sz val="8"/>
      <color indexed="16"/>
      <name val="Calibri"/>
      <family val="2"/>
    </font>
    <font>
      <b/>
      <sz val="8"/>
      <color indexed="30"/>
      <name val="Calibri"/>
      <family val="2"/>
    </font>
    <font>
      <sz val="8"/>
      <color indexed="30"/>
      <name val="Calibri"/>
      <family val="2"/>
    </font>
    <font>
      <i/>
      <sz val="8"/>
      <color indexed="30"/>
      <name val="Calibri"/>
      <family val="2"/>
    </font>
    <font>
      <sz val="9"/>
      <color indexed="30"/>
      <name val="Calibri"/>
      <family val="2"/>
    </font>
    <font>
      <i/>
      <sz val="9"/>
      <color indexed="30"/>
      <name val="Calibri"/>
      <family val="2"/>
    </font>
    <font>
      <b/>
      <i/>
      <sz val="9"/>
      <color indexed="20"/>
      <name val="Calibri"/>
      <family val="2"/>
    </font>
    <font>
      <b/>
      <sz val="9"/>
      <color indexed="16"/>
      <name val="Calibri"/>
      <family val="2"/>
    </font>
    <font>
      <b/>
      <i/>
      <sz val="8"/>
      <color indexed="20"/>
      <name val="Calibri"/>
      <family val="2"/>
    </font>
    <font>
      <b/>
      <sz val="10"/>
      <color indexed="8"/>
      <name val="Calibri"/>
      <family val="2"/>
    </font>
    <font>
      <b/>
      <sz val="14"/>
      <color indexed="8"/>
      <name val="Calibri"/>
      <family val="2"/>
    </font>
    <font>
      <sz val="8.45"/>
      <color indexed="8"/>
      <name val="Calibri"/>
      <family val="2"/>
    </font>
    <font>
      <sz val="7.35"/>
      <color indexed="8"/>
      <name val="Calibri"/>
      <family val="2"/>
    </font>
    <font>
      <b/>
      <sz val="11"/>
      <color indexed="16"/>
      <name val="Calibri"/>
      <family val="2"/>
    </font>
    <font>
      <b/>
      <sz val="10.5"/>
      <color indexed="16"/>
      <name val="Calibri"/>
      <family val="2"/>
    </font>
    <font>
      <b/>
      <sz val="11"/>
      <color indexed="60"/>
      <name val="Calibri"/>
      <family val="2"/>
    </font>
    <font>
      <i/>
      <sz val="9"/>
      <color indexed="8"/>
      <name val="Arial"/>
      <family val="2"/>
    </font>
    <font>
      <b/>
      <i/>
      <sz val="9"/>
      <color indexed="8"/>
      <name val="Arial"/>
      <family val="2"/>
    </font>
    <font>
      <b/>
      <i/>
      <sz val="11"/>
      <color indexed="8"/>
      <name val="Arial"/>
      <family val="2"/>
    </font>
    <font>
      <i/>
      <sz val="9"/>
      <color indexed="30"/>
      <name val="Arial"/>
      <family val="2"/>
    </font>
    <font>
      <b/>
      <sz val="11"/>
      <color indexed="8"/>
      <name val="Calibri"/>
      <family val="2"/>
    </font>
    <font>
      <b/>
      <sz val="18"/>
      <color indexed="8"/>
      <name val="Calibri"/>
      <family val="2"/>
    </font>
    <font>
      <sz val="9"/>
      <name val="Tahoma"/>
      <family val="2"/>
    </font>
    <font>
      <b/>
      <sz val="9"/>
      <name val="Tahoma"/>
      <family val="2"/>
    </font>
    <font>
      <sz val="10"/>
      <color indexed="8"/>
      <name val="Ertr"/>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
      <color indexed="12"/>
      <name val="Arial"/>
      <family val="2"/>
    </font>
    <font>
      <u val="single"/>
      <sz val="9"/>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i/>
      <sz val="10"/>
      <color indexed="18"/>
      <name val="Calibri"/>
      <family val="2"/>
    </font>
    <font>
      <sz val="10"/>
      <color indexed="18"/>
      <name val="Calibri"/>
      <family val="2"/>
    </font>
    <font>
      <sz val="11"/>
      <color indexed="18"/>
      <name val="Calibri"/>
      <family val="2"/>
    </font>
    <font>
      <i/>
      <sz val="10"/>
      <color indexed="18"/>
      <name val="Calibri"/>
      <family val="2"/>
    </font>
    <font>
      <b/>
      <sz val="10"/>
      <color indexed="18"/>
      <name val="Calibri"/>
      <family val="2"/>
    </font>
    <font>
      <i/>
      <sz val="8"/>
      <color indexed="10"/>
      <name val="Calibri"/>
      <family val="2"/>
    </font>
    <font>
      <i/>
      <sz val="9"/>
      <color indexed="40"/>
      <name val="Calibri"/>
      <family val="2"/>
    </font>
    <font>
      <b/>
      <sz val="10"/>
      <color indexed="60"/>
      <name val="Calibri"/>
      <family val="2"/>
    </font>
    <font>
      <b/>
      <sz val="9.6"/>
      <color indexed="8"/>
      <name val="Calibri"/>
      <family val="2"/>
    </font>
    <font>
      <b/>
      <sz val="12"/>
      <color indexed="8"/>
      <name val="Ertr"/>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
      <color theme="10"/>
      <name val="Arial"/>
      <family val="2"/>
    </font>
    <font>
      <u val="single"/>
      <sz val="9"/>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0"/>
      <color theme="3" tint="-0.24997000396251678"/>
      <name val="Calibri"/>
      <family val="2"/>
    </font>
    <font>
      <sz val="10"/>
      <color theme="3" tint="-0.24997000396251678"/>
      <name val="Calibri"/>
      <family val="2"/>
    </font>
    <font>
      <sz val="11"/>
      <color theme="3" tint="-0.24997000396251678"/>
      <name val="Calibri"/>
      <family val="2"/>
    </font>
    <font>
      <i/>
      <sz val="10"/>
      <color theme="3" tint="-0.24997000396251678"/>
      <name val="Calibri"/>
      <family val="2"/>
    </font>
    <font>
      <b/>
      <sz val="10"/>
      <color theme="3" tint="-0.24997000396251678"/>
      <name val="Calibri"/>
      <family val="2"/>
    </font>
    <font>
      <sz val="8"/>
      <color theme="1"/>
      <name val="Calibri"/>
      <family val="2"/>
    </font>
    <font>
      <sz val="8"/>
      <color rgb="FFFF0000"/>
      <name val="Calibri"/>
      <family val="2"/>
    </font>
    <font>
      <i/>
      <sz val="8"/>
      <color rgb="FFFF0000"/>
      <name val="Calibri"/>
      <family val="2"/>
    </font>
    <font>
      <i/>
      <sz val="9"/>
      <color rgb="FFFF0000"/>
      <name val="Calibri"/>
      <family val="2"/>
    </font>
    <font>
      <i/>
      <sz val="9"/>
      <color rgb="FF00B0F0"/>
      <name val="Calibri"/>
      <family val="2"/>
    </font>
    <font>
      <b/>
      <sz val="10"/>
      <color theme="5"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top/>
      <bottom style="thin"/>
    </border>
    <border>
      <left style="thin"/>
      <right style="thin"/>
      <top/>
      <bottom style="thin"/>
    </border>
    <border>
      <left/>
      <right/>
      <top style="thin"/>
      <bottom style="double"/>
    </border>
    <border>
      <left/>
      <right/>
      <top style="hair"/>
      <bottom style="hair"/>
    </border>
    <border>
      <left/>
      <right/>
      <top style="hair">
        <color indexed="55"/>
      </top>
      <bottom style="hair">
        <color indexed="55"/>
      </bottom>
    </border>
    <border>
      <left/>
      <right/>
      <top style="thin">
        <color indexed="55"/>
      </top>
      <bottom style="thin">
        <color indexed="55"/>
      </bottom>
    </border>
    <border>
      <left/>
      <right/>
      <top style="thin">
        <color indexed="55"/>
      </top>
      <bottom style="thin"/>
    </border>
    <border>
      <left/>
      <right/>
      <top/>
      <bottom style="double"/>
    </border>
    <border>
      <left/>
      <right/>
      <top style="thin"/>
      <bottom style="thin"/>
    </border>
    <border>
      <left/>
      <right/>
      <top style="thin"/>
      <bottom/>
    </border>
    <border>
      <left/>
      <right/>
      <top/>
      <bottom style="hair"/>
    </border>
    <border>
      <left/>
      <right/>
      <top style="hair"/>
      <bottom style="thin"/>
    </border>
    <border>
      <left/>
      <right/>
      <top style="thin"/>
      <bottom style="medium"/>
    </border>
    <border>
      <left/>
      <right/>
      <top style="hair">
        <color indexed="55"/>
      </top>
      <bottom>
        <color indexed="63"/>
      </bottom>
    </border>
    <border>
      <left/>
      <right/>
      <top style="hair"/>
      <bottom>
        <color indexed="63"/>
      </bottom>
    </border>
    <border>
      <left/>
      <right/>
      <top style="hair">
        <color indexed="55"/>
      </top>
      <bottom style="thin"/>
    </border>
    <border>
      <left style="thin"/>
      <right style="thin"/>
      <top style="thin"/>
      <bottom style="medium"/>
    </border>
    <border>
      <left style="thin"/>
      <right style="thin"/>
      <top>
        <color indexed="63"/>
      </top>
      <bottom style="medium"/>
    </border>
    <border>
      <left/>
      <right style="thin"/>
      <top style="thin"/>
      <bottom style="double"/>
    </border>
    <border>
      <left style="thin"/>
      <right style="thin"/>
      <top style="thin"/>
      <bottom style="double"/>
    </border>
    <border>
      <left/>
      <right style="thin"/>
      <top/>
      <bottom style="thin"/>
    </border>
    <border>
      <left style="thin"/>
      <right style="thin"/>
      <top>
        <color indexed="63"/>
      </top>
      <bottom style="double"/>
    </border>
    <border>
      <left/>
      <right/>
      <top>
        <color indexed="63"/>
      </top>
      <bottom style="hair">
        <color indexed="55"/>
      </bottom>
    </border>
    <border>
      <left style="thin"/>
      <right style="thin"/>
      <top style="double"/>
      <bottom style="double"/>
    </border>
    <border>
      <left style="thin"/>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bottom style="thin"/>
    </border>
    <border>
      <left style="thin"/>
      <right/>
      <top/>
      <bottom/>
    </border>
    <border>
      <left style="thin"/>
      <right style="thin"/>
      <top>
        <color indexed="63"/>
      </top>
      <bottom>
        <color indexed="63"/>
      </bottom>
    </border>
    <border>
      <left style="thin"/>
      <right style="thin"/>
      <top style="medium"/>
      <bottom style="medium"/>
    </border>
    <border>
      <left/>
      <right style="thin"/>
      <top style="thin"/>
      <bottom/>
    </border>
    <border>
      <left style="thin"/>
      <right/>
      <top style="thin"/>
      <bottom/>
    </border>
    <border>
      <left style="double"/>
      <right/>
      <top style="double"/>
      <bottom style="double"/>
    </border>
    <border>
      <left/>
      <right/>
      <top style="double"/>
      <bottom style="double"/>
    </border>
    <border>
      <left/>
      <right style="thin"/>
      <top style="double"/>
      <bottom style="double"/>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9" fillId="20" borderId="1" applyNumberFormat="0" applyAlignment="0" applyProtection="0"/>
    <xf numFmtId="0" fontId="120" fillId="0" borderId="2" applyNumberFormat="0" applyFill="0" applyAlignment="0" applyProtection="0"/>
    <xf numFmtId="0" fontId="121" fillId="21" borderId="3"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8" fillId="26" borderId="0" applyNumberFormat="0" applyBorder="0" applyAlignment="0" applyProtection="0"/>
    <xf numFmtId="0" fontId="118" fillId="27" borderId="0" applyNumberFormat="0" applyBorder="0" applyAlignment="0" applyProtection="0"/>
    <xf numFmtId="0" fontId="124" fillId="28" borderId="1" applyNumberFormat="0" applyAlignment="0" applyProtection="0"/>
    <xf numFmtId="43" fontId="0" fillId="0" borderId="0" applyFont="0" applyFill="0" applyBorder="0" applyAlignment="0" applyProtection="0"/>
    <xf numFmtId="165"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25" fillId="29" borderId="0" applyNumberFormat="0" applyBorder="0" applyAlignment="0" applyProtection="0"/>
    <xf numFmtId="0" fontId="0" fillId="0" borderId="0">
      <alignment/>
      <protection/>
    </xf>
    <xf numFmtId="0" fontId="11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126"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6" applyNumberFormat="0" applyFill="0" applyAlignment="0" applyProtection="0"/>
    <xf numFmtId="0" fontId="131" fillId="0" borderId="7" applyNumberFormat="0" applyFill="0" applyAlignment="0" applyProtection="0"/>
    <xf numFmtId="0" fontId="132" fillId="0" borderId="8" applyNumberFormat="0" applyFill="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31" borderId="0" applyNumberFormat="0" applyBorder="0" applyAlignment="0" applyProtection="0"/>
    <xf numFmtId="0" fontId="135" fillId="32" borderId="0" applyNumberFormat="0" applyBorder="0" applyAlignment="0" applyProtection="0"/>
    <xf numFmtId="44" fontId="0" fillId="0" borderId="0" applyFont="0" applyFill="0" applyBorder="0" applyAlignment="0" applyProtection="0"/>
    <xf numFmtId="166" fontId="2" fillId="0" borderId="0" applyFont="0" applyFill="0" applyBorder="0" applyAlignment="0" applyProtection="0"/>
    <xf numFmtId="42" fontId="0" fillId="0" borderId="0" applyFont="0" applyFill="0" applyBorder="0" applyAlignment="0" applyProtection="0"/>
  </cellStyleXfs>
  <cellXfs count="859">
    <xf numFmtId="0" fontId="0" fillId="0" borderId="0" xfId="0" applyAlignment="1">
      <alignment/>
    </xf>
    <xf numFmtId="0" fontId="1" fillId="0" borderId="0" xfId="66" applyFont="1">
      <alignment/>
      <protection/>
    </xf>
    <xf numFmtId="0" fontId="43" fillId="0" borderId="0" xfId="66" applyFont="1" applyAlignment="1">
      <alignment vertical="center" wrapText="1"/>
      <protection/>
    </xf>
    <xf numFmtId="0" fontId="44" fillId="0" borderId="0" xfId="66" applyFont="1" applyAlignment="1">
      <alignment vertical="top"/>
      <protection/>
    </xf>
    <xf numFmtId="0" fontId="1" fillId="0" borderId="0" xfId="66" applyFont="1" applyAlignment="1">
      <alignment vertical="center" wrapText="1"/>
      <protection/>
    </xf>
    <xf numFmtId="0" fontId="1" fillId="0" borderId="0" xfId="66" applyFont="1" applyAlignment="1">
      <alignment wrapText="1"/>
      <protection/>
    </xf>
    <xf numFmtId="0" fontId="1" fillId="0" borderId="0" xfId="66" applyFont="1" applyAlignment="1">
      <alignment vertical="top" wrapText="1"/>
      <protection/>
    </xf>
    <xf numFmtId="0" fontId="45" fillId="0" borderId="0" xfId="67" applyFont="1" applyAlignment="1">
      <alignment vertical="top" wrapText="1"/>
      <protection/>
    </xf>
    <xf numFmtId="0" fontId="1" fillId="0" borderId="0" xfId="66" applyFont="1" applyFill="1" applyAlignment="1">
      <alignment vertical="top"/>
      <protection/>
    </xf>
    <xf numFmtId="0" fontId="1" fillId="0" borderId="0" xfId="66" applyFont="1" applyFill="1" applyAlignment="1">
      <alignment wrapText="1"/>
      <protection/>
    </xf>
    <xf numFmtId="0" fontId="45" fillId="0" borderId="0" xfId="67" applyFont="1" applyFill="1" applyAlignment="1">
      <alignment vertical="top" wrapText="1"/>
      <protection/>
    </xf>
    <xf numFmtId="0" fontId="45" fillId="0" borderId="0" xfId="67" applyFont="1" applyFill="1" applyAlignment="1">
      <alignment vertical="center" wrapText="1"/>
      <protection/>
    </xf>
    <xf numFmtId="0" fontId="33" fillId="0" borderId="0" xfId="0" applyFont="1" applyAlignment="1">
      <alignment vertical="center"/>
    </xf>
    <xf numFmtId="0" fontId="3" fillId="0" borderId="0" xfId="0" applyFont="1" applyAlignment="1">
      <alignment vertical="center"/>
    </xf>
    <xf numFmtId="0" fontId="15" fillId="0" borderId="0" xfId="0" applyFont="1" applyAlignment="1">
      <alignment/>
    </xf>
    <xf numFmtId="0" fontId="16" fillId="0" borderId="10" xfId="0" applyFont="1" applyFill="1" applyBorder="1" applyAlignment="1">
      <alignment vertical="center" wrapText="1"/>
    </xf>
    <xf numFmtId="3" fontId="16" fillId="0" borderId="10" xfId="0" applyNumberFormat="1" applyFont="1" applyFill="1" applyBorder="1" applyAlignment="1">
      <alignment vertical="center" wrapText="1"/>
    </xf>
    <xf numFmtId="0" fontId="31" fillId="0" borderId="0" xfId="0" applyFont="1" applyAlignment="1">
      <alignment vertical="center"/>
    </xf>
    <xf numFmtId="0" fontId="15" fillId="0" borderId="0" xfId="0" applyFont="1" applyAlignment="1">
      <alignment vertical="center"/>
    </xf>
    <xf numFmtId="0" fontId="17" fillId="0" borderId="10" xfId="0" applyFont="1" applyFill="1" applyBorder="1" applyAlignment="1">
      <alignment horizontal="right" vertical="center" wrapText="1"/>
    </xf>
    <xf numFmtId="0" fontId="31" fillId="0" borderId="10" xfId="0" applyFont="1" applyFill="1" applyBorder="1" applyAlignment="1">
      <alignment vertical="center" wrapText="1"/>
    </xf>
    <xf numFmtId="0" fontId="15" fillId="0" borderId="0" xfId="0" applyFont="1" applyFill="1" applyBorder="1" applyAlignment="1">
      <alignment/>
    </xf>
    <xf numFmtId="3" fontId="15" fillId="0" borderId="0" xfId="0" applyNumberFormat="1" applyFont="1" applyFill="1" applyBorder="1" applyAlignment="1">
      <alignment/>
    </xf>
    <xf numFmtId="0" fontId="15" fillId="0" borderId="0" xfId="0" applyFont="1" applyFill="1" applyAlignment="1">
      <alignment/>
    </xf>
    <xf numFmtId="164" fontId="15" fillId="0" borderId="0" xfId="79" applyNumberFormat="1" applyFont="1" applyFill="1" applyAlignment="1">
      <alignment/>
    </xf>
    <xf numFmtId="0" fontId="33" fillId="0" borderId="0" xfId="0" applyFont="1" applyAlignment="1">
      <alignment/>
    </xf>
    <xf numFmtId="0" fontId="46" fillId="0" borderId="0" xfId="0" applyFont="1" applyAlignment="1">
      <alignment vertical="center"/>
    </xf>
    <xf numFmtId="0" fontId="40" fillId="0" borderId="0" xfId="0" applyFont="1" applyBorder="1" applyAlignment="1">
      <alignment vertical="center"/>
    </xf>
    <xf numFmtId="0" fontId="35" fillId="0" borderId="10" xfId="0" applyFont="1" applyFill="1" applyBorder="1" applyAlignment="1">
      <alignment horizontal="left" vertical="center" wrapText="1"/>
    </xf>
    <xf numFmtId="0" fontId="15" fillId="0" borderId="10" xfId="0" applyFont="1" applyBorder="1" applyAlignment="1">
      <alignment vertical="center"/>
    </xf>
    <xf numFmtId="3" fontId="35" fillId="0" borderId="11"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wrapText="1"/>
    </xf>
    <xf numFmtId="0" fontId="45" fillId="0" borderId="0" xfId="67" applyFont="1" applyFill="1" applyAlignment="1">
      <alignment horizontal="left" vertical="center" wrapText="1"/>
      <protection/>
    </xf>
    <xf numFmtId="0" fontId="47" fillId="0" borderId="0" xfId="0" applyFont="1" applyAlignment="1">
      <alignment/>
    </xf>
    <xf numFmtId="0" fontId="1" fillId="0" borderId="0" xfId="66" applyFont="1" applyFill="1" applyAlignment="1">
      <alignment horizontal="left" vertical="center" wrapText="1"/>
      <protection/>
    </xf>
    <xf numFmtId="0" fontId="1" fillId="0" borderId="0" xfId="66" applyFont="1" applyAlignment="1">
      <alignment horizontal="left" vertical="center"/>
      <protection/>
    </xf>
    <xf numFmtId="0" fontId="48" fillId="0" borderId="10" xfId="0" applyFont="1" applyFill="1" applyBorder="1" applyAlignment="1">
      <alignment horizontal="center" vertical="center"/>
    </xf>
    <xf numFmtId="0" fontId="33" fillId="0" borderId="10" xfId="0" applyFont="1" applyBorder="1" applyAlignment="1">
      <alignment/>
    </xf>
    <xf numFmtId="0" fontId="3" fillId="0" borderId="10" xfId="0" applyFont="1" applyBorder="1" applyAlignment="1">
      <alignment/>
    </xf>
    <xf numFmtId="0" fontId="18" fillId="0" borderId="10" xfId="0" applyNumberFormat="1" applyFont="1" applyFill="1" applyBorder="1" applyAlignment="1">
      <alignment vertical="center" wrapText="1"/>
    </xf>
    <xf numFmtId="0" fontId="15" fillId="0" borderId="0" xfId="0" applyFont="1" applyBorder="1" applyAlignment="1">
      <alignment vertical="center"/>
    </xf>
    <xf numFmtId="0" fontId="31" fillId="0" borderId="10" xfId="0" applyFont="1" applyBorder="1" applyAlignment="1">
      <alignment vertical="center"/>
    </xf>
    <xf numFmtId="0" fontId="17" fillId="0" borderId="12" xfId="0" applyFont="1" applyFill="1" applyBorder="1" applyAlignment="1">
      <alignment horizontal="right" vertical="center" wrapText="1"/>
    </xf>
    <xf numFmtId="0" fontId="49" fillId="0" borderId="12" xfId="0" applyFont="1" applyFill="1" applyBorder="1" applyAlignment="1">
      <alignment horizontal="right" vertical="center" wrapText="1"/>
    </xf>
    <xf numFmtId="0" fontId="32" fillId="0" borderId="12" xfId="0" applyFont="1" applyFill="1" applyBorder="1" applyAlignment="1">
      <alignment horizontal="right" vertical="center" wrapText="1"/>
    </xf>
    <xf numFmtId="0" fontId="1" fillId="33" borderId="0" xfId="66" applyFont="1" applyFill="1" applyAlignment="1">
      <alignment horizontal="left" vertical="center" wrapText="1"/>
      <protection/>
    </xf>
    <xf numFmtId="10" fontId="33" fillId="0" borderId="10" xfId="0" applyNumberFormat="1" applyFont="1" applyBorder="1" applyAlignment="1">
      <alignment/>
    </xf>
    <xf numFmtId="3" fontId="16" fillId="0" borderId="0" xfId="0" applyNumberFormat="1" applyFont="1" applyFill="1" applyBorder="1" applyAlignment="1">
      <alignment vertical="center" wrapText="1"/>
    </xf>
    <xf numFmtId="0" fontId="50" fillId="0" borderId="0" xfId="0" applyFont="1" applyAlignment="1">
      <alignment/>
    </xf>
    <xf numFmtId="0" fontId="1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52" fillId="0" borderId="10" xfId="0" applyFont="1" applyFill="1" applyBorder="1" applyAlignment="1">
      <alignment horizontal="right" vertical="center" wrapText="1"/>
    </xf>
    <xf numFmtId="0" fontId="45" fillId="33" borderId="0" xfId="67" applyFont="1" applyFill="1" applyAlignment="1">
      <alignment horizontal="left" vertical="center" wrapText="1"/>
      <protection/>
    </xf>
    <xf numFmtId="0" fontId="33" fillId="0" borderId="0" xfId="65" applyFont="1">
      <alignment/>
      <protection/>
    </xf>
    <xf numFmtId="0" fontId="51" fillId="0" borderId="0" xfId="65" applyFont="1">
      <alignment/>
      <protection/>
    </xf>
    <xf numFmtId="0" fontId="33" fillId="0" borderId="0" xfId="65" applyFont="1" applyAlignment="1">
      <alignment vertical="center"/>
      <protection/>
    </xf>
    <xf numFmtId="0" fontId="51" fillId="0" borderId="0" xfId="65" applyFont="1" applyAlignment="1">
      <alignment vertical="center"/>
      <protection/>
    </xf>
    <xf numFmtId="0" fontId="53" fillId="0" borderId="0" xfId="0" applyFont="1" applyAlignment="1">
      <alignment vertical="center"/>
    </xf>
    <xf numFmtId="0" fontId="26" fillId="0" borderId="0" xfId="0" applyFont="1" applyAlignment="1">
      <alignment vertical="center"/>
    </xf>
    <xf numFmtId="0" fontId="5" fillId="0" borderId="0" xfId="0" applyFont="1" applyAlignment="1">
      <alignment vertical="center"/>
    </xf>
    <xf numFmtId="0" fontId="26" fillId="0" borderId="0" xfId="0" applyFont="1" applyFill="1" applyAlignment="1">
      <alignment vertical="center"/>
    </xf>
    <xf numFmtId="0" fontId="54" fillId="0" borderId="10" xfId="0" applyFont="1" applyFill="1" applyBorder="1" applyAlignment="1">
      <alignment vertical="center" wrapText="1"/>
    </xf>
    <xf numFmtId="0" fontId="27" fillId="0" borderId="10" xfId="0" applyFont="1" applyFill="1" applyBorder="1" applyAlignment="1">
      <alignment vertical="center" wrapText="1"/>
    </xf>
    <xf numFmtId="0" fontId="54" fillId="0" borderId="10" xfId="0" applyFont="1" applyFill="1" applyBorder="1" applyAlignment="1">
      <alignment horizontal="right" vertical="center" wrapText="1"/>
    </xf>
    <xf numFmtId="0" fontId="28" fillId="0" borderId="10"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29" fillId="0" borderId="10" xfId="0" applyFont="1" applyFill="1" applyBorder="1" applyAlignment="1">
      <alignment horizontal="right" vertical="center" wrapText="1"/>
    </xf>
    <xf numFmtId="0" fontId="55" fillId="0" borderId="10" xfId="0" applyFont="1" applyFill="1" applyBorder="1" applyAlignment="1">
      <alignment vertical="center" wrapText="1"/>
    </xf>
    <xf numFmtId="0" fontId="46" fillId="0" borderId="0" xfId="0" applyFont="1" applyFill="1" applyAlignment="1">
      <alignment vertical="center"/>
    </xf>
    <xf numFmtId="0" fontId="33" fillId="0" borderId="0" xfId="0" applyFont="1" applyFill="1" applyAlignment="1">
      <alignment vertical="center"/>
    </xf>
    <xf numFmtId="9" fontId="26" fillId="0" borderId="11" xfId="79" applyFont="1" applyFill="1" applyBorder="1" applyAlignment="1">
      <alignment vertical="center"/>
    </xf>
    <xf numFmtId="9" fontId="26" fillId="0" borderId="10" xfId="79" applyFont="1" applyFill="1" applyBorder="1" applyAlignment="1">
      <alignment vertical="center"/>
    </xf>
    <xf numFmtId="10" fontId="26" fillId="0" borderId="10" xfId="79" applyNumberFormat="1" applyFont="1" applyFill="1" applyBorder="1" applyAlignment="1">
      <alignment horizontal="center" vertical="center"/>
    </xf>
    <xf numFmtId="2" fontId="26" fillId="0" borderId="10" xfId="79" applyNumberFormat="1" applyFont="1" applyFill="1" applyBorder="1" applyAlignment="1">
      <alignment horizontal="center" vertical="center"/>
    </xf>
    <xf numFmtId="0" fontId="5" fillId="0" borderId="10" xfId="0" applyFont="1" applyFill="1" applyBorder="1" applyAlignment="1">
      <alignment vertical="center"/>
    </xf>
    <xf numFmtId="10" fontId="5" fillId="0" borderId="10" xfId="79" applyNumberFormat="1" applyFont="1" applyFill="1" applyBorder="1" applyAlignment="1">
      <alignment horizontal="center" vertical="center"/>
    </xf>
    <xf numFmtId="2" fontId="5" fillId="0" borderId="10" xfId="79" applyNumberFormat="1" applyFont="1" applyFill="1" applyBorder="1" applyAlignment="1">
      <alignment horizontal="center" vertical="center"/>
    </xf>
    <xf numFmtId="3" fontId="56" fillId="0" borderId="10" xfId="0" applyNumberFormat="1" applyFont="1" applyFill="1" applyBorder="1" applyAlignment="1">
      <alignment horizontal="center" vertical="center" wrapText="1"/>
    </xf>
    <xf numFmtId="3" fontId="5" fillId="0" borderId="11"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3" fontId="56" fillId="0" borderId="13" xfId="0" applyNumberFormat="1" applyFont="1" applyFill="1" applyBorder="1" applyAlignment="1">
      <alignment horizontal="center" vertical="center" wrapText="1"/>
    </xf>
    <xf numFmtId="0" fontId="26" fillId="0" borderId="10" xfId="0" applyNumberFormat="1" applyFont="1" applyFill="1" applyBorder="1" applyAlignment="1">
      <alignment vertical="center" wrapText="1"/>
    </xf>
    <xf numFmtId="0" fontId="27" fillId="0" borderId="0" xfId="0" applyFont="1" applyFill="1" applyBorder="1" applyAlignment="1">
      <alignment vertical="center" wrapText="1"/>
    </xf>
    <xf numFmtId="167" fontId="57" fillId="0" borderId="0" xfId="0" applyNumberFormat="1" applyFont="1" applyFill="1" applyBorder="1" applyAlignment="1">
      <alignment vertical="center" wrapText="1"/>
    </xf>
    <xf numFmtId="0" fontId="26" fillId="0" borderId="0" xfId="0" applyNumberFormat="1" applyFont="1" applyFill="1" applyBorder="1" applyAlignment="1">
      <alignment vertical="center" wrapText="1"/>
    </xf>
    <xf numFmtId="0" fontId="26" fillId="0" borderId="0" xfId="79" applyNumberFormat="1" applyFont="1" applyFill="1" applyBorder="1" applyAlignment="1">
      <alignment vertical="center"/>
    </xf>
    <xf numFmtId="9" fontId="26" fillId="0" borderId="0" xfId="79" applyFont="1" applyFill="1" applyBorder="1" applyAlignment="1">
      <alignment vertical="center"/>
    </xf>
    <xf numFmtId="10" fontId="26" fillId="0" borderId="0" xfId="79" applyNumberFormat="1" applyFont="1" applyFill="1" applyBorder="1" applyAlignment="1">
      <alignment horizontal="center" vertical="center"/>
    </xf>
    <xf numFmtId="2" fontId="26" fillId="0" borderId="0" xfId="79" applyNumberFormat="1" applyFont="1" applyFill="1" applyBorder="1" applyAlignment="1">
      <alignment horizontal="center" vertical="center"/>
    </xf>
    <xf numFmtId="0" fontId="26" fillId="0" borderId="0" xfId="0" applyFont="1" applyBorder="1" applyAlignment="1">
      <alignment vertical="center"/>
    </xf>
    <xf numFmtId="0" fontId="58" fillId="0" borderId="0" xfId="0" applyFont="1" applyAlignment="1">
      <alignment vertical="center"/>
    </xf>
    <xf numFmtId="3" fontId="56" fillId="34" borderId="13" xfId="0" applyNumberFormat="1" applyFont="1" applyFill="1" applyBorder="1" applyAlignment="1">
      <alignment horizontal="center" vertical="center" wrapText="1"/>
    </xf>
    <xf numFmtId="10" fontId="26" fillId="34" borderId="10" xfId="79" applyNumberFormat="1" applyFont="1" applyFill="1" applyBorder="1" applyAlignment="1">
      <alignment horizontal="center" vertical="center"/>
    </xf>
    <xf numFmtId="2" fontId="26" fillId="34" borderId="10" xfId="79" applyNumberFormat="1" applyFont="1" applyFill="1" applyBorder="1" applyAlignment="1">
      <alignment horizontal="center" vertical="center"/>
    </xf>
    <xf numFmtId="3" fontId="59" fillId="34" borderId="13" xfId="0" applyNumberFormat="1" applyFont="1" applyFill="1" applyBorder="1" applyAlignment="1">
      <alignment horizontal="center" vertical="center" wrapText="1"/>
    </xf>
    <xf numFmtId="10" fontId="58" fillId="34" borderId="10" xfId="79" applyNumberFormat="1" applyFont="1" applyFill="1" applyBorder="1" applyAlignment="1">
      <alignment horizontal="center" vertical="center"/>
    </xf>
    <xf numFmtId="2" fontId="58" fillId="34" borderId="10" xfId="79" applyNumberFormat="1" applyFont="1" applyFill="1" applyBorder="1" applyAlignment="1">
      <alignment horizontal="center" vertical="center"/>
    </xf>
    <xf numFmtId="0" fontId="26" fillId="0" borderId="0" xfId="0" applyFont="1" applyAlignment="1">
      <alignment/>
    </xf>
    <xf numFmtId="0" fontId="5" fillId="0" borderId="0" xfId="0" applyFont="1" applyBorder="1" applyAlignment="1">
      <alignment vertical="center"/>
    </xf>
    <xf numFmtId="0" fontId="5" fillId="0" borderId="0" xfId="0" applyNumberFormat="1" applyFont="1" applyBorder="1" applyAlignment="1">
      <alignment vertical="center"/>
    </xf>
    <xf numFmtId="0" fontId="5" fillId="0" borderId="14" xfId="0" applyNumberFormat="1" applyFont="1" applyBorder="1" applyAlignment="1">
      <alignment vertical="center"/>
    </xf>
    <xf numFmtId="0" fontId="26" fillId="0" borderId="0" xfId="0" applyNumberFormat="1" applyFont="1" applyAlignment="1">
      <alignment vertical="center"/>
    </xf>
    <xf numFmtId="0" fontId="54" fillId="0" borderId="10" xfId="0" applyFont="1" applyFill="1" applyBorder="1" applyAlignment="1">
      <alignment wrapText="1"/>
    </xf>
    <xf numFmtId="0" fontId="55" fillId="0" borderId="10" xfId="0" applyFont="1" applyFill="1" applyBorder="1" applyAlignment="1">
      <alignment horizontal="right" wrapText="1"/>
    </xf>
    <xf numFmtId="0" fontId="54" fillId="0" borderId="10" xfId="0" applyFont="1" applyFill="1" applyBorder="1" applyAlignment="1">
      <alignment horizontal="right" wrapText="1"/>
    </xf>
    <xf numFmtId="0" fontId="28" fillId="0" borderId="13" xfId="0" applyFont="1" applyFill="1" applyBorder="1" applyAlignment="1">
      <alignment horizontal="right" wrapText="1"/>
    </xf>
    <xf numFmtId="0" fontId="5" fillId="0" borderId="10" xfId="0" applyFont="1" applyFill="1" applyBorder="1" applyAlignment="1">
      <alignment horizontal="right" wrapText="1"/>
    </xf>
    <xf numFmtId="0" fontId="29" fillId="0" borderId="10" xfId="0" applyFont="1" applyFill="1" applyBorder="1" applyAlignment="1">
      <alignment horizontal="right" wrapText="1"/>
    </xf>
    <xf numFmtId="0" fontId="28" fillId="0" borderId="10" xfId="0" applyFont="1" applyFill="1" applyBorder="1" applyAlignment="1">
      <alignment horizontal="right" wrapText="1"/>
    </xf>
    <xf numFmtId="0" fontId="29" fillId="0" borderId="13" xfId="0" applyFont="1" applyFill="1" applyBorder="1" applyAlignment="1">
      <alignment horizontal="right" wrapText="1"/>
    </xf>
    <xf numFmtId="0" fontId="26" fillId="0" borderId="0" xfId="0" applyNumberFormat="1" applyFont="1" applyFill="1" applyBorder="1" applyAlignment="1">
      <alignment vertical="center"/>
    </xf>
    <xf numFmtId="0" fontId="26" fillId="0" borderId="0" xfId="0" applyNumberFormat="1" applyFont="1" applyFill="1" applyAlignment="1">
      <alignment vertical="center"/>
    </xf>
    <xf numFmtId="164" fontId="26" fillId="0" borderId="0" xfId="79" applyNumberFormat="1" applyFont="1" applyFill="1" applyAlignment="1">
      <alignment vertical="center"/>
    </xf>
    <xf numFmtId="0" fontId="26" fillId="0" borderId="10" xfId="0" applyFont="1" applyFill="1" applyBorder="1" applyAlignment="1">
      <alignment horizontal="right" wrapText="1"/>
    </xf>
    <xf numFmtId="0" fontId="27" fillId="0" borderId="10" xfId="0" applyFont="1" applyFill="1" applyBorder="1" applyAlignment="1">
      <alignment horizontal="right" wrapText="1"/>
    </xf>
    <xf numFmtId="0" fontId="5" fillId="0" borderId="10" xfId="0" applyFont="1" applyFill="1" applyBorder="1" applyAlignment="1">
      <alignment horizontal="left" wrapText="1"/>
    </xf>
    <xf numFmtId="0" fontId="29" fillId="0" borderId="10" xfId="0" applyFont="1" applyFill="1" applyBorder="1" applyAlignment="1">
      <alignment horizontal="left" wrapText="1"/>
    </xf>
    <xf numFmtId="0" fontId="55" fillId="0" borderId="12" xfId="0" applyFont="1" applyFill="1" applyBorder="1" applyAlignment="1">
      <alignment wrapText="1"/>
    </xf>
    <xf numFmtId="0" fontId="26" fillId="0" borderId="0" xfId="0" applyNumberFormat="1" applyFont="1" applyAlignment="1">
      <alignment/>
    </xf>
    <xf numFmtId="0" fontId="60" fillId="0" borderId="13" xfId="0" applyFont="1" applyFill="1" applyBorder="1" applyAlignment="1">
      <alignment horizontal="center" vertical="center" wrapText="1"/>
    </xf>
    <xf numFmtId="0" fontId="60" fillId="0" borderId="15" xfId="0" applyFont="1" applyFill="1" applyBorder="1" applyAlignment="1">
      <alignment horizontal="center" vertical="center" wrapText="1"/>
    </xf>
    <xf numFmtId="3" fontId="60" fillId="0" borderId="15" xfId="0"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5" fillId="0" borderId="16" xfId="0" applyFont="1" applyBorder="1" applyAlignment="1">
      <alignment vertical="center"/>
    </xf>
    <xf numFmtId="0" fontId="31" fillId="0" borderId="16" xfId="0" applyFont="1" applyBorder="1" applyAlignment="1">
      <alignment horizontal="center" vertical="center" wrapText="1"/>
    </xf>
    <xf numFmtId="0" fontId="15" fillId="0" borderId="17" xfId="0" applyFont="1" applyBorder="1" applyAlignment="1">
      <alignment vertical="center"/>
    </xf>
    <xf numFmtId="3" fontId="15" fillId="0" borderId="17" xfId="0" applyNumberFormat="1" applyFont="1" applyBorder="1" applyAlignment="1">
      <alignment horizontal="center" vertical="center"/>
    </xf>
    <xf numFmtId="10" fontId="15" fillId="0" borderId="17" xfId="0" applyNumberFormat="1" applyFont="1" applyBorder="1" applyAlignment="1">
      <alignment horizontal="center" vertical="center"/>
    </xf>
    <xf numFmtId="0" fontId="15" fillId="0" borderId="18" xfId="0" applyFont="1" applyBorder="1" applyAlignment="1">
      <alignment vertical="center"/>
    </xf>
    <xf numFmtId="3" fontId="15" fillId="0" borderId="18" xfId="0" applyNumberFormat="1" applyFont="1" applyBorder="1" applyAlignment="1">
      <alignment horizontal="center" vertical="center"/>
    </xf>
    <xf numFmtId="10" fontId="15" fillId="0" borderId="18" xfId="0" applyNumberFormat="1" applyFont="1" applyBorder="1" applyAlignment="1">
      <alignment horizontal="center" vertical="center"/>
    </xf>
    <xf numFmtId="0" fontId="15" fillId="0" borderId="14" xfId="0" applyFont="1" applyBorder="1" applyAlignment="1">
      <alignment vertical="center"/>
    </xf>
    <xf numFmtId="3" fontId="15" fillId="0" borderId="14" xfId="0" applyNumberFormat="1" applyFont="1" applyBorder="1" applyAlignment="1">
      <alignment horizontal="center" vertical="center"/>
    </xf>
    <xf numFmtId="0" fontId="31" fillId="0" borderId="0" xfId="0" applyFont="1" applyBorder="1" applyAlignment="1">
      <alignment horizontal="center" vertical="center" wrapText="1"/>
    </xf>
    <xf numFmtId="10" fontId="15" fillId="0" borderId="0" xfId="0" applyNumberFormat="1" applyFont="1" applyBorder="1" applyAlignment="1">
      <alignment horizontal="center" vertical="center"/>
    </xf>
    <xf numFmtId="0" fontId="15" fillId="0" borderId="19" xfId="0" applyFont="1" applyBorder="1" applyAlignment="1">
      <alignment vertical="center"/>
    </xf>
    <xf numFmtId="0" fontId="15" fillId="0" borderId="20" xfId="0" applyFont="1" applyBorder="1" applyAlignment="1">
      <alignment vertical="center"/>
    </xf>
    <xf numFmtId="0" fontId="61" fillId="0" borderId="0" xfId="0" applyFont="1" applyAlignment="1">
      <alignment vertical="center"/>
    </xf>
    <xf numFmtId="0" fontId="61" fillId="0" borderId="0" xfId="0" applyFont="1" applyFill="1" applyBorder="1" applyAlignment="1">
      <alignment horizontal="left" vertical="center" wrapText="1"/>
    </xf>
    <xf numFmtId="0" fontId="15" fillId="0" borderId="21" xfId="0" applyFont="1" applyBorder="1" applyAlignment="1">
      <alignment vertical="center"/>
    </xf>
    <xf numFmtId="0" fontId="15" fillId="0" borderId="0" xfId="0" applyFont="1" applyBorder="1" applyAlignment="1">
      <alignment horizontal="center" vertical="center"/>
    </xf>
    <xf numFmtId="10" fontId="15" fillId="0" borderId="0" xfId="79" applyNumberFormat="1" applyFont="1" applyBorder="1" applyAlignment="1">
      <alignment horizontal="center" vertical="center"/>
    </xf>
    <xf numFmtId="0" fontId="6" fillId="0" borderId="0" xfId="0" applyFont="1" applyBorder="1" applyAlignment="1">
      <alignment vertical="center" wrapText="1"/>
    </xf>
    <xf numFmtId="3"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164" fontId="27" fillId="0" borderId="10" xfId="79" applyNumberFormat="1" applyFont="1" applyFill="1" applyBorder="1" applyAlignment="1">
      <alignment vertical="center" wrapText="1"/>
    </xf>
    <xf numFmtId="2" fontId="27" fillId="0" borderId="10" xfId="0" applyNumberFormat="1" applyFont="1" applyFill="1" applyBorder="1" applyAlignment="1">
      <alignment vertical="center" wrapText="1"/>
    </xf>
    <xf numFmtId="164" fontId="27" fillId="35" borderId="10" xfId="79" applyNumberFormat="1" applyFont="1" applyFill="1" applyBorder="1" applyAlignment="1">
      <alignment vertical="center" wrapText="1"/>
    </xf>
    <xf numFmtId="2" fontId="27" fillId="35" borderId="10" xfId="0" applyNumberFormat="1" applyFont="1" applyFill="1" applyBorder="1" applyAlignment="1">
      <alignment vertical="center" wrapText="1"/>
    </xf>
    <xf numFmtId="0" fontId="6" fillId="0" borderId="22" xfId="0" applyFont="1" applyBorder="1" applyAlignment="1">
      <alignment horizontal="center" vertical="center"/>
    </xf>
    <xf numFmtId="3" fontId="10" fillId="0" borderId="22" xfId="0" applyNumberFormat="1" applyFont="1" applyFill="1" applyBorder="1" applyAlignment="1">
      <alignment horizontal="center" vertical="center" wrapText="1"/>
    </xf>
    <xf numFmtId="0" fontId="11" fillId="0" borderId="0" xfId="0" applyFont="1" applyFill="1" applyBorder="1" applyAlignment="1">
      <alignment vertical="center"/>
    </xf>
    <xf numFmtId="3" fontId="11" fillId="0" borderId="0" xfId="0" applyNumberFormat="1" applyFont="1" applyAlignment="1">
      <alignment horizontal="center"/>
    </xf>
    <xf numFmtId="3" fontId="11" fillId="0" borderId="0" xfId="0" applyNumberFormat="1" applyFont="1" applyBorder="1" applyAlignment="1">
      <alignment horizontal="center"/>
    </xf>
    <xf numFmtId="10" fontId="11" fillId="0" borderId="23" xfId="79" applyNumberFormat="1" applyFont="1" applyBorder="1" applyAlignment="1">
      <alignment horizontal="center"/>
    </xf>
    <xf numFmtId="10" fontId="11" fillId="0" borderId="0" xfId="79" applyNumberFormat="1" applyFont="1" applyBorder="1" applyAlignment="1">
      <alignment horizontal="center"/>
    </xf>
    <xf numFmtId="0" fontId="11" fillId="0" borderId="0" xfId="0" applyFont="1" applyFill="1" applyBorder="1" applyAlignment="1">
      <alignment vertical="center" wrapText="1"/>
    </xf>
    <xf numFmtId="0" fontId="6" fillId="0" borderId="22" xfId="0" applyFont="1" applyFill="1" applyBorder="1" applyAlignment="1">
      <alignment vertical="center" wrapText="1"/>
    </xf>
    <xf numFmtId="3" fontId="6" fillId="0" borderId="22" xfId="0" applyNumberFormat="1" applyFont="1" applyBorder="1" applyAlignment="1">
      <alignment horizontal="center"/>
    </xf>
    <xf numFmtId="10" fontId="6" fillId="0" borderId="22" xfId="79" applyNumberFormat="1" applyFont="1" applyBorder="1" applyAlignment="1">
      <alignment horizontal="center"/>
    </xf>
    <xf numFmtId="0" fontId="12" fillId="0" borderId="0" xfId="0" applyFont="1" applyAlignment="1">
      <alignment/>
    </xf>
    <xf numFmtId="0" fontId="11" fillId="0" borderId="0" xfId="0" applyFont="1" applyAlignment="1">
      <alignment/>
    </xf>
    <xf numFmtId="0" fontId="11" fillId="0" borderId="0" xfId="0" applyFont="1" applyAlignment="1">
      <alignment horizontal="center"/>
    </xf>
    <xf numFmtId="0" fontId="62" fillId="0" borderId="0" xfId="0" applyFont="1" applyAlignment="1">
      <alignment/>
    </xf>
    <xf numFmtId="0" fontId="63" fillId="0" borderId="0" xfId="0" applyFont="1" applyAlignment="1">
      <alignment/>
    </xf>
    <xf numFmtId="0" fontId="13" fillId="0" borderId="10" xfId="0" applyFont="1" applyFill="1" applyBorder="1" applyAlignment="1">
      <alignment horizontal="left" vertical="center" wrapText="1"/>
    </xf>
    <xf numFmtId="0" fontId="14" fillId="0" borderId="0" xfId="0" applyFont="1" applyAlignment="1">
      <alignment vertical="center"/>
    </xf>
    <xf numFmtId="0" fontId="6" fillId="0" borderId="0" xfId="0" applyFont="1" applyAlignment="1">
      <alignment/>
    </xf>
    <xf numFmtId="0" fontId="64" fillId="0" borderId="10" xfId="0" applyFont="1" applyFill="1" applyBorder="1" applyAlignment="1">
      <alignment horizontal="center" vertical="center" wrapText="1"/>
    </xf>
    <xf numFmtId="0" fontId="15" fillId="0" borderId="0" xfId="0" applyFont="1" applyAlignment="1">
      <alignment horizontal="center" vertical="center"/>
    </xf>
    <xf numFmtId="0" fontId="11" fillId="0" borderId="10" xfId="0" applyFont="1" applyBorder="1" applyAlignment="1">
      <alignment horizontal="right"/>
    </xf>
    <xf numFmtId="0" fontId="6" fillId="0" borderId="10" xfId="0" applyFont="1" applyBorder="1" applyAlignment="1">
      <alignment horizontal="right"/>
    </xf>
    <xf numFmtId="0" fontId="6" fillId="0" borderId="10" xfId="0" applyFont="1" applyBorder="1" applyAlignment="1">
      <alignment/>
    </xf>
    <xf numFmtId="0" fontId="65" fillId="0" borderId="10" xfId="0" applyFont="1" applyFill="1" applyBorder="1" applyAlignment="1">
      <alignment horizontal="center" vertical="center" wrapText="1"/>
    </xf>
    <xf numFmtId="0" fontId="26"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23" fillId="0" borderId="0" xfId="0" applyFont="1" applyFill="1" applyBorder="1" applyAlignment="1">
      <alignment horizontal="center" vertical="center"/>
    </xf>
    <xf numFmtId="3" fontId="23" fillId="0" borderId="24" xfId="0" applyNumberFormat="1" applyFont="1" applyFill="1" applyBorder="1" applyAlignment="1">
      <alignment horizontal="center" vertical="center" wrapText="1"/>
    </xf>
    <xf numFmtId="0" fontId="23" fillId="0" borderId="0" xfId="0" applyFont="1" applyBorder="1" applyAlignment="1">
      <alignment/>
    </xf>
    <xf numFmtId="3" fontId="22" fillId="0" borderId="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3" fontId="24" fillId="0" borderId="22" xfId="0" applyNumberFormat="1" applyFont="1" applyFill="1" applyBorder="1" applyAlignment="1">
      <alignment horizontal="center" vertical="center"/>
    </xf>
    <xf numFmtId="172" fontId="24" fillId="0" borderId="22" xfId="56" applyNumberFormat="1" applyFont="1" applyFill="1" applyBorder="1" applyAlignment="1">
      <alignment horizontal="center" vertical="center" wrapText="1"/>
    </xf>
    <xf numFmtId="0" fontId="25" fillId="0" borderId="23" xfId="0" applyFont="1" applyFill="1" applyBorder="1" applyAlignment="1">
      <alignment horizontal="center" vertical="center" wrapText="1"/>
    </xf>
    <xf numFmtId="3" fontId="25" fillId="0" borderId="23" xfId="0" applyNumberFormat="1" applyFont="1" applyFill="1" applyBorder="1" applyAlignment="1">
      <alignment horizontal="center" vertical="center"/>
    </xf>
    <xf numFmtId="172" fontId="25" fillId="0" borderId="23" xfId="56" applyNumberFormat="1"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10" fontId="19" fillId="0" borderId="24" xfId="56" applyNumberFormat="1" applyFont="1" applyFill="1" applyBorder="1" applyAlignment="1">
      <alignment horizontal="center" vertical="center"/>
    </xf>
    <xf numFmtId="10" fontId="19" fillId="0" borderId="24" xfId="0" applyNumberFormat="1" applyFont="1" applyFill="1" applyBorder="1" applyAlignment="1">
      <alignment horizontal="center" vertical="center"/>
    </xf>
    <xf numFmtId="2" fontId="19" fillId="0" borderId="24" xfId="79" applyNumberFormat="1" applyFont="1" applyFill="1" applyBorder="1" applyAlignment="1">
      <alignment horizontal="center" vertical="center"/>
    </xf>
    <xf numFmtId="3" fontId="19" fillId="0" borderId="17" xfId="0" applyNumberFormat="1" applyFont="1" applyFill="1" applyBorder="1" applyAlignment="1">
      <alignment horizontal="center" vertical="center" wrapText="1"/>
    </xf>
    <xf numFmtId="10" fontId="19" fillId="0" borderId="17" xfId="56" applyNumberFormat="1" applyFont="1" applyFill="1" applyBorder="1" applyAlignment="1">
      <alignment horizontal="center" vertical="center"/>
    </xf>
    <xf numFmtId="2" fontId="19" fillId="0" borderId="17" xfId="79" applyNumberFormat="1" applyFont="1" applyFill="1" applyBorder="1" applyAlignment="1">
      <alignment horizontal="center" vertical="center"/>
    </xf>
    <xf numFmtId="3" fontId="19" fillId="0" borderId="23" xfId="0" applyNumberFormat="1" applyFont="1" applyFill="1" applyBorder="1" applyAlignment="1">
      <alignment horizontal="center" vertical="center" wrapText="1"/>
    </xf>
    <xf numFmtId="10" fontId="19" fillId="0" borderId="25" xfId="56" applyNumberFormat="1" applyFont="1" applyFill="1" applyBorder="1" applyAlignment="1">
      <alignment horizontal="center" vertical="center"/>
    </xf>
    <xf numFmtId="2" fontId="19" fillId="0" borderId="25" xfId="79" applyNumberFormat="1" applyFont="1" applyFill="1" applyBorder="1" applyAlignment="1">
      <alignment horizontal="center" vertical="center"/>
    </xf>
    <xf numFmtId="3" fontId="25" fillId="0" borderId="22" xfId="0" applyNumberFormat="1" applyFont="1" applyFill="1" applyBorder="1" applyAlignment="1">
      <alignment horizontal="center" vertical="center" wrapText="1"/>
    </xf>
    <xf numFmtId="10" fontId="20" fillId="0" borderId="24" xfId="56" applyNumberFormat="1" applyFont="1" applyFill="1" applyBorder="1" applyAlignment="1">
      <alignment horizontal="center" vertical="center"/>
    </xf>
    <xf numFmtId="2" fontId="20" fillId="0" borderId="24" xfId="79" applyNumberFormat="1" applyFont="1" applyFill="1" applyBorder="1" applyAlignment="1">
      <alignment horizontal="center" vertical="center"/>
    </xf>
    <xf numFmtId="3" fontId="20" fillId="0" borderId="26" xfId="0" applyNumberFormat="1" applyFont="1" applyFill="1" applyBorder="1" applyAlignment="1">
      <alignment horizontal="center" vertical="center" wrapText="1"/>
    </xf>
    <xf numFmtId="10" fontId="20" fillId="0" borderId="26" xfId="56" applyNumberFormat="1" applyFont="1" applyFill="1" applyBorder="1" applyAlignment="1">
      <alignment horizontal="center" vertical="center"/>
    </xf>
    <xf numFmtId="10" fontId="20" fillId="0" borderId="26" xfId="0" applyNumberFormat="1" applyFont="1" applyFill="1" applyBorder="1" applyAlignment="1">
      <alignment horizontal="center" vertical="center"/>
    </xf>
    <xf numFmtId="2" fontId="20" fillId="0" borderId="26" xfId="79" applyNumberFormat="1" applyFont="1" applyFill="1" applyBorder="1" applyAlignment="1">
      <alignment horizontal="center" vertical="center"/>
    </xf>
    <xf numFmtId="0" fontId="23" fillId="0" borderId="16" xfId="0" applyFont="1" applyBorder="1" applyAlignment="1">
      <alignment vertical="center"/>
    </xf>
    <xf numFmtId="0" fontId="22" fillId="0" borderId="16" xfId="0" applyFont="1" applyBorder="1" applyAlignment="1">
      <alignment horizontal="center" vertical="center" wrapText="1"/>
    </xf>
    <xf numFmtId="0" fontId="22" fillId="0" borderId="18" xfId="0" applyFont="1" applyBorder="1" applyAlignment="1">
      <alignment vertical="center"/>
    </xf>
    <xf numFmtId="3" fontId="23" fillId="0" borderId="18" xfId="0" applyNumberFormat="1" applyFont="1" applyBorder="1" applyAlignment="1">
      <alignment horizontal="center" vertical="center"/>
    </xf>
    <xf numFmtId="10" fontId="23" fillId="0" borderId="18" xfId="0" applyNumberFormat="1" applyFont="1" applyBorder="1" applyAlignment="1">
      <alignment horizontal="center" vertical="center"/>
    </xf>
    <xf numFmtId="0" fontId="22" fillId="0" borderId="14" xfId="0" applyFont="1" applyFill="1" applyBorder="1" applyAlignment="1">
      <alignment vertical="center"/>
    </xf>
    <xf numFmtId="3" fontId="23" fillId="0" borderId="14" xfId="0" applyNumberFormat="1" applyFont="1" applyBorder="1" applyAlignment="1">
      <alignment horizontal="center" vertical="center"/>
    </xf>
    <xf numFmtId="10" fontId="23" fillId="0" borderId="14" xfId="0" applyNumberFormat="1" applyFont="1" applyBorder="1" applyAlignment="1">
      <alignment horizontal="center" vertical="center"/>
    </xf>
    <xf numFmtId="173" fontId="15" fillId="0" borderId="10" xfId="0" applyNumberFormat="1" applyFont="1" applyBorder="1" applyAlignment="1">
      <alignment vertical="center"/>
    </xf>
    <xf numFmtId="173" fontId="31" fillId="0" borderId="10" xfId="0" applyNumberFormat="1" applyFont="1" applyBorder="1" applyAlignment="1">
      <alignment vertical="center"/>
    </xf>
    <xf numFmtId="3" fontId="3" fillId="0" borderId="10" xfId="0" applyNumberFormat="1" applyFont="1" applyFill="1" applyBorder="1" applyAlignment="1">
      <alignment vertical="center" wrapText="1"/>
    </xf>
    <xf numFmtId="164" fontId="16" fillId="0" borderId="10" xfId="79" applyNumberFormat="1" applyFont="1" applyFill="1" applyBorder="1" applyAlignment="1">
      <alignment vertical="center" wrapText="1"/>
    </xf>
    <xf numFmtId="164" fontId="18" fillId="0" borderId="10" xfId="79" applyNumberFormat="1" applyFont="1" applyFill="1" applyBorder="1" applyAlignment="1">
      <alignment vertical="center" wrapText="1"/>
    </xf>
    <xf numFmtId="0" fontId="57" fillId="0" borderId="10" xfId="0" applyFont="1" applyFill="1" applyBorder="1" applyAlignment="1">
      <alignment horizontal="right" vertical="center" wrapText="1"/>
    </xf>
    <xf numFmtId="3" fontId="6" fillId="0" borderId="10" xfId="0" applyNumberFormat="1" applyFont="1" applyFill="1" applyBorder="1" applyAlignment="1">
      <alignment vertical="center" wrapText="1"/>
    </xf>
    <xf numFmtId="10" fontId="26" fillId="0" borderId="10" xfId="0" applyNumberFormat="1" applyFont="1" applyFill="1" applyBorder="1" applyAlignment="1">
      <alignment vertical="center"/>
    </xf>
    <xf numFmtId="0" fontId="57" fillId="0" borderId="10" xfId="0" applyFont="1" applyFill="1" applyBorder="1" applyAlignment="1">
      <alignment horizontal="right" wrapText="1"/>
    </xf>
    <xf numFmtId="0" fontId="15" fillId="0" borderId="23" xfId="0" applyFont="1" applyBorder="1" applyAlignment="1">
      <alignment vertical="center"/>
    </xf>
    <xf numFmtId="10" fontId="15" fillId="0" borderId="27" xfId="0" applyNumberFormat="1" applyFont="1" applyBorder="1" applyAlignment="1">
      <alignment horizontal="center" vertical="center"/>
    </xf>
    <xf numFmtId="10" fontId="15" fillId="0" borderId="28" xfId="0" applyNumberFormat="1" applyFont="1" applyBorder="1" applyAlignment="1">
      <alignment horizontal="center" vertical="center"/>
    </xf>
    <xf numFmtId="10" fontId="15" fillId="0" borderId="18" xfId="79" applyNumberFormat="1" applyFont="1" applyBorder="1" applyAlignment="1">
      <alignment horizontal="center" vertical="center"/>
    </xf>
    <xf numFmtId="10" fontId="15" fillId="0" borderId="14" xfId="79" applyNumberFormat="1" applyFont="1" applyBorder="1" applyAlignment="1">
      <alignment horizontal="center" vertical="center"/>
    </xf>
    <xf numFmtId="10" fontId="15" fillId="0" borderId="29" xfId="0" applyNumberFormat="1" applyFont="1" applyBorder="1" applyAlignment="1">
      <alignment horizontal="center" vertical="center"/>
    </xf>
    <xf numFmtId="10" fontId="15" fillId="0" borderId="29" xfId="79" applyNumberFormat="1" applyFont="1" applyBorder="1" applyAlignment="1">
      <alignment horizontal="center" vertical="center"/>
    </xf>
    <xf numFmtId="0" fontId="5" fillId="0" borderId="15" xfId="0" applyFont="1" applyFill="1" applyBorder="1" applyAlignment="1">
      <alignment horizontal="right" vertical="center" wrapText="1"/>
    </xf>
    <xf numFmtId="0" fontId="28" fillId="0" borderId="30" xfId="0" applyFont="1" applyFill="1" applyBorder="1" applyAlignment="1">
      <alignment horizontal="right" vertical="center" wrapText="1"/>
    </xf>
    <xf numFmtId="0" fontId="29" fillId="0" borderId="15" xfId="0" applyFont="1" applyFill="1" applyBorder="1" applyAlignment="1">
      <alignment horizontal="right" vertical="center" wrapText="1"/>
    </xf>
    <xf numFmtId="0" fontId="5" fillId="0" borderId="31" xfId="0" applyFont="1" applyFill="1" applyBorder="1" applyAlignment="1">
      <alignment horizontal="right" vertical="center" wrapText="1"/>
    </xf>
    <xf numFmtId="0" fontId="54" fillId="0" borderId="13" xfId="0" applyFont="1" applyFill="1" applyBorder="1" applyAlignment="1">
      <alignment horizontal="right" vertical="center" wrapText="1"/>
    </xf>
    <xf numFmtId="0" fontId="57" fillId="0" borderId="13" xfId="0" applyFont="1" applyFill="1" applyBorder="1" applyAlignment="1">
      <alignment horizontal="right" vertical="center" wrapText="1"/>
    </xf>
    <xf numFmtId="0" fontId="54" fillId="0" borderId="15" xfId="0" applyFont="1" applyFill="1" applyBorder="1" applyAlignment="1">
      <alignment vertical="center" wrapText="1"/>
    </xf>
    <xf numFmtId="3" fontId="5" fillId="0" borderId="32" xfId="0" applyNumberFormat="1" applyFont="1" applyFill="1" applyBorder="1" applyAlignment="1">
      <alignment horizontal="right" vertical="center" wrapText="1"/>
    </xf>
    <xf numFmtId="3" fontId="5" fillId="0" borderId="33" xfId="0" applyNumberFormat="1" applyFont="1" applyFill="1" applyBorder="1" applyAlignment="1">
      <alignment horizontal="right" vertical="center" wrapText="1"/>
    </xf>
    <xf numFmtId="0" fontId="54" fillId="0" borderId="15" xfId="0" applyFont="1" applyFill="1" applyBorder="1" applyAlignment="1">
      <alignment horizontal="right" vertical="center" wrapText="1"/>
    </xf>
    <xf numFmtId="173" fontId="27" fillId="0" borderId="15" xfId="56" applyNumberFormat="1" applyFont="1" applyFill="1" applyBorder="1" applyAlignment="1">
      <alignment vertical="center" wrapText="1"/>
    </xf>
    <xf numFmtId="164" fontId="26" fillId="0" borderId="15" xfId="79" applyNumberFormat="1" applyFont="1" applyBorder="1" applyAlignment="1">
      <alignment vertical="center"/>
    </xf>
    <xf numFmtId="164" fontId="26" fillId="0" borderId="10" xfId="79" applyNumberFormat="1" applyFont="1" applyBorder="1" applyAlignment="1">
      <alignment vertical="center"/>
    </xf>
    <xf numFmtId="164" fontId="5" fillId="0" borderId="30" xfId="79" applyNumberFormat="1" applyFont="1" applyBorder="1" applyAlignment="1">
      <alignment vertical="center"/>
    </xf>
    <xf numFmtId="173" fontId="29" fillId="0" borderId="10" xfId="56" applyNumberFormat="1" applyFont="1" applyFill="1" applyBorder="1" applyAlignment="1">
      <alignment vertical="center" wrapText="1"/>
    </xf>
    <xf numFmtId="0" fontId="26" fillId="0" borderId="0" xfId="65" applyFont="1" applyAlignment="1">
      <alignment vertical="center"/>
      <protection/>
    </xf>
    <xf numFmtId="0" fontId="66" fillId="0" borderId="0" xfId="0" applyFont="1" applyAlignment="1">
      <alignment vertical="center"/>
    </xf>
    <xf numFmtId="164" fontId="26" fillId="0" borderId="13" xfId="79" applyNumberFormat="1" applyFont="1" applyBorder="1" applyAlignment="1">
      <alignment vertical="center"/>
    </xf>
    <xf numFmtId="0" fontId="56" fillId="0" borderId="13" xfId="0" applyFont="1" applyFill="1" applyBorder="1" applyAlignment="1">
      <alignment horizontal="right" wrapText="1"/>
    </xf>
    <xf numFmtId="0" fontId="26" fillId="0" borderId="10" xfId="0" applyFont="1" applyFill="1" applyBorder="1" applyAlignment="1">
      <alignment wrapText="1"/>
    </xf>
    <xf numFmtId="0" fontId="26" fillId="0" borderId="10" xfId="0" applyFont="1" applyFill="1" applyBorder="1" applyAlignment="1">
      <alignment horizontal="left" wrapText="1"/>
    </xf>
    <xf numFmtId="0" fontId="27" fillId="0" borderId="10" xfId="0" applyFont="1" applyFill="1" applyBorder="1" applyAlignment="1">
      <alignment horizontal="left" wrapText="1"/>
    </xf>
    <xf numFmtId="0" fontId="5" fillId="0" borderId="0" xfId="0" applyFont="1" applyBorder="1" applyAlignment="1">
      <alignment horizontal="left" vertical="center" wrapText="1"/>
    </xf>
    <xf numFmtId="0" fontId="28" fillId="0" borderId="13" xfId="0" applyFont="1" applyFill="1" applyBorder="1" applyAlignment="1">
      <alignment horizontal="right" vertical="center" wrapText="1"/>
    </xf>
    <xf numFmtId="164" fontId="5" fillId="0" borderId="15" xfId="79" applyNumberFormat="1" applyFont="1" applyBorder="1" applyAlignment="1">
      <alignment vertical="center"/>
    </xf>
    <xf numFmtId="10" fontId="5" fillId="0" borderId="15" xfId="79" applyNumberFormat="1" applyFont="1" applyFill="1" applyBorder="1" applyAlignment="1">
      <alignment horizontal="center" vertical="center"/>
    </xf>
    <xf numFmtId="1" fontId="26" fillId="0" borderId="0" xfId="0" applyNumberFormat="1" applyFont="1" applyFill="1" applyAlignment="1">
      <alignment vertical="center"/>
    </xf>
    <xf numFmtId="164" fontId="5" fillId="0" borderId="10" xfId="79" applyNumberFormat="1" applyFont="1" applyBorder="1" applyAlignment="1">
      <alignment vertical="center"/>
    </xf>
    <xf numFmtId="173" fontId="27" fillId="0" borderId="33" xfId="56" applyNumberFormat="1" applyFont="1" applyFill="1" applyBorder="1" applyAlignment="1">
      <alignment vertical="center" wrapText="1"/>
    </xf>
    <xf numFmtId="173" fontId="28" fillId="0" borderId="10" xfId="56" applyNumberFormat="1" applyFont="1" applyFill="1" applyBorder="1" applyAlignment="1">
      <alignment vertical="center" wrapText="1"/>
    </xf>
    <xf numFmtId="173" fontId="5" fillId="0" borderId="15" xfId="56" applyNumberFormat="1" applyFont="1" applyFill="1" applyBorder="1" applyAlignment="1">
      <alignment vertical="center" wrapText="1"/>
    </xf>
    <xf numFmtId="0" fontId="68" fillId="0" borderId="10" xfId="0" applyFont="1" applyFill="1" applyBorder="1" applyAlignment="1">
      <alignment horizontal="right" vertical="center" wrapText="1"/>
    </xf>
    <xf numFmtId="0" fontId="67" fillId="0" borderId="0" xfId="0" applyFont="1" applyAlignment="1">
      <alignment vertical="center"/>
    </xf>
    <xf numFmtId="3" fontId="5" fillId="0" borderId="0" xfId="0" applyNumberFormat="1" applyFont="1" applyBorder="1" applyAlignment="1">
      <alignment vertical="center"/>
    </xf>
    <xf numFmtId="3" fontId="5" fillId="0" borderId="14" xfId="0" applyNumberFormat="1" applyFont="1" applyBorder="1" applyAlignment="1">
      <alignment vertical="center"/>
    </xf>
    <xf numFmtId="3" fontId="30" fillId="0" borderId="10" xfId="0" applyNumberFormat="1" applyFont="1" applyFill="1" applyBorder="1" applyAlignment="1">
      <alignment horizontal="right" vertical="center" wrapText="1"/>
    </xf>
    <xf numFmtId="3" fontId="26" fillId="0" borderId="10" xfId="0" applyNumberFormat="1" applyFont="1" applyBorder="1" applyAlignment="1">
      <alignment vertical="center"/>
    </xf>
    <xf numFmtId="3" fontId="27" fillId="0" borderId="10" xfId="0" applyNumberFormat="1" applyFont="1" applyFill="1" applyBorder="1" applyAlignment="1">
      <alignment vertical="center" wrapText="1"/>
    </xf>
    <xf numFmtId="3" fontId="26" fillId="0" borderId="10" xfId="79" applyNumberFormat="1" applyFont="1" applyFill="1" applyBorder="1" applyAlignment="1">
      <alignment vertical="center"/>
    </xf>
    <xf numFmtId="3" fontId="26" fillId="0" borderId="0" xfId="0" applyNumberFormat="1" applyFont="1" applyFill="1" applyBorder="1" applyAlignment="1">
      <alignment vertical="center"/>
    </xf>
    <xf numFmtId="3" fontId="26" fillId="0" borderId="0" xfId="0" applyNumberFormat="1" applyFont="1" applyFill="1" applyBorder="1" applyAlignment="1">
      <alignment vertical="center" wrapText="1"/>
    </xf>
    <xf numFmtId="3" fontId="26" fillId="0" borderId="0" xfId="79" applyNumberFormat="1" applyFont="1" applyFill="1" applyBorder="1" applyAlignment="1">
      <alignment vertical="center"/>
    </xf>
    <xf numFmtId="3" fontId="27" fillId="35" borderId="10" xfId="0" applyNumberFormat="1" applyFont="1" applyFill="1" applyBorder="1" applyAlignment="1">
      <alignment vertical="center" wrapText="1"/>
    </xf>
    <xf numFmtId="3" fontId="26" fillId="0" borderId="10" xfId="0" applyNumberFormat="1" applyFont="1" applyBorder="1" applyAlignment="1">
      <alignment/>
    </xf>
    <xf numFmtId="3" fontId="26" fillId="0" borderId="0" xfId="0" applyNumberFormat="1" applyFont="1" applyAlignment="1">
      <alignment/>
    </xf>
    <xf numFmtId="3" fontId="5" fillId="0" borderId="0" xfId="0" applyNumberFormat="1" applyFont="1" applyFill="1" applyBorder="1" applyAlignment="1">
      <alignment vertical="center" wrapText="1"/>
    </xf>
    <xf numFmtId="3" fontId="55" fillId="0" borderId="0" xfId="0" applyNumberFormat="1" applyFont="1" applyFill="1" applyBorder="1" applyAlignment="1">
      <alignment vertical="center" wrapText="1"/>
    </xf>
    <xf numFmtId="3" fontId="30" fillId="0" borderId="10" xfId="0" applyNumberFormat="1" applyFont="1" applyFill="1" applyBorder="1" applyAlignment="1">
      <alignment horizontal="right" vertical="center" wrapText="1"/>
    </xf>
    <xf numFmtId="0" fontId="36" fillId="0" borderId="10" xfId="0" applyFont="1" applyFill="1" applyBorder="1" applyAlignment="1">
      <alignment horizontal="left" vertical="center" wrapText="1"/>
    </xf>
    <xf numFmtId="0" fontId="31" fillId="0" borderId="10" xfId="0" applyFont="1" applyBorder="1" applyAlignment="1">
      <alignment/>
    </xf>
    <xf numFmtId="0" fontId="69" fillId="0" borderId="0" xfId="0" applyFont="1" applyFill="1" applyBorder="1" applyAlignment="1">
      <alignment vertical="center" wrapText="1"/>
    </xf>
    <xf numFmtId="0" fontId="26" fillId="0" borderId="15" xfId="0" applyFont="1" applyFill="1" applyBorder="1" applyAlignment="1">
      <alignment horizontal="right" wrapText="1"/>
    </xf>
    <xf numFmtId="3" fontId="27" fillId="0" borderId="15" xfId="0" applyNumberFormat="1" applyFont="1" applyFill="1" applyBorder="1" applyAlignment="1">
      <alignment vertical="center" wrapText="1"/>
    </xf>
    <xf numFmtId="0" fontId="5" fillId="0" borderId="31" xfId="0" applyFont="1" applyFill="1" applyBorder="1" applyAlignment="1">
      <alignment horizontal="right" wrapText="1"/>
    </xf>
    <xf numFmtId="0" fontId="27" fillId="0" borderId="30" xfId="0" applyFont="1" applyFill="1" applyBorder="1" applyAlignment="1">
      <alignment horizontal="right" wrapText="1"/>
    </xf>
    <xf numFmtId="0" fontId="54" fillId="0" borderId="31" xfId="0" applyFont="1" applyFill="1" applyBorder="1" applyAlignment="1">
      <alignment horizontal="right" wrapText="1"/>
    </xf>
    <xf numFmtId="3" fontId="30" fillId="0" borderId="33" xfId="0" applyNumberFormat="1" applyFont="1" applyFill="1" applyBorder="1" applyAlignment="1">
      <alignment horizontal="right" vertical="center" wrapText="1"/>
    </xf>
    <xf numFmtId="0" fontId="30" fillId="0" borderId="33" xfId="0" applyNumberFormat="1" applyFont="1" applyFill="1" applyBorder="1" applyAlignment="1">
      <alignment horizontal="right" vertical="center" wrapText="1"/>
    </xf>
    <xf numFmtId="0" fontId="61" fillId="0" borderId="0" xfId="0" applyFont="1" applyFill="1" applyBorder="1" applyAlignment="1">
      <alignment vertical="center" wrapText="1"/>
    </xf>
    <xf numFmtId="173" fontId="29" fillId="0" borderId="0" xfId="56" applyNumberFormat="1" applyFont="1" applyFill="1" applyBorder="1" applyAlignment="1">
      <alignment vertical="center" wrapText="1"/>
    </xf>
    <xf numFmtId="164" fontId="5" fillId="0" borderId="0" xfId="79" applyNumberFormat="1" applyFont="1" applyBorder="1" applyAlignment="1">
      <alignment vertical="center"/>
    </xf>
    <xf numFmtId="0" fontId="40" fillId="0" borderId="0" xfId="0" applyFont="1" applyAlignment="1">
      <alignment horizontal="left" vertical="center" wrapText="1"/>
    </xf>
    <xf numFmtId="0" fontId="40" fillId="0" borderId="0" xfId="0" applyFont="1" applyBorder="1" applyAlignment="1">
      <alignment horizontal="right" vertical="center"/>
    </xf>
    <xf numFmtId="0" fontId="3" fillId="0" borderId="14" xfId="0" applyFont="1" applyBorder="1" applyAlignment="1">
      <alignment horizontal="right" vertical="center" wrapText="1"/>
    </xf>
    <xf numFmtId="0" fontId="33" fillId="0" borderId="0" xfId="0" applyFont="1" applyAlignment="1">
      <alignment horizontal="right" vertical="center"/>
    </xf>
    <xf numFmtId="3" fontId="35" fillId="0" borderId="10"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3" fontId="35" fillId="0" borderId="15" xfId="0" applyNumberFormat="1" applyFont="1" applyFill="1" applyBorder="1" applyAlignment="1">
      <alignment horizontal="right" vertical="center" wrapText="1"/>
    </xf>
    <xf numFmtId="0" fontId="67" fillId="0" borderId="0" xfId="65" applyFont="1" applyAlignment="1">
      <alignment vertical="center"/>
      <protection/>
    </xf>
    <xf numFmtId="3" fontId="26" fillId="0" borderId="0" xfId="0" applyNumberFormat="1" applyFont="1" applyFill="1" applyAlignment="1">
      <alignment vertical="center"/>
    </xf>
    <xf numFmtId="0" fontId="70" fillId="0" borderId="12" xfId="0" applyFont="1" applyFill="1" applyBorder="1" applyAlignment="1">
      <alignment horizontal="right" vertical="center" wrapText="1"/>
    </xf>
    <xf numFmtId="164" fontId="29" fillId="0" borderId="10" xfId="79" applyNumberFormat="1" applyFont="1" applyFill="1" applyBorder="1" applyAlignment="1">
      <alignment vertical="center" wrapText="1"/>
    </xf>
    <xf numFmtId="2" fontId="29" fillId="0" borderId="10" xfId="0" applyNumberFormat="1" applyFont="1" applyFill="1" applyBorder="1" applyAlignment="1">
      <alignment vertical="center" wrapText="1"/>
    </xf>
    <xf numFmtId="0" fontId="31" fillId="0" borderId="0" xfId="0" applyFont="1" applyBorder="1" applyAlignment="1">
      <alignment horizontal="left" vertical="center" wrapText="1"/>
    </xf>
    <xf numFmtId="0" fontId="71" fillId="0" borderId="10" xfId="0" applyFont="1" applyFill="1" applyBorder="1" applyAlignment="1">
      <alignment horizontal="center" vertical="center" wrapText="1"/>
    </xf>
    <xf numFmtId="0" fontId="61" fillId="0" borderId="0" xfId="65" applyFont="1" applyAlignment="1">
      <alignment vertical="center"/>
      <protection/>
    </xf>
    <xf numFmtId="0" fontId="31" fillId="0" borderId="0" xfId="0" applyFont="1" applyBorder="1" applyAlignment="1">
      <alignment vertical="center" wrapText="1"/>
    </xf>
    <xf numFmtId="0" fontId="72" fillId="0" borderId="12" xfId="0" applyFont="1" applyFill="1" applyBorder="1" applyAlignment="1">
      <alignment horizontal="left" vertical="center" wrapText="1"/>
    </xf>
    <xf numFmtId="0" fontId="15" fillId="0" borderId="0" xfId="65" applyFont="1" applyAlignment="1">
      <alignment vertical="center"/>
      <protection/>
    </xf>
    <xf numFmtId="0" fontId="64" fillId="0" borderId="10" xfId="0" applyFont="1" applyFill="1" applyBorder="1" applyAlignment="1">
      <alignment horizontal="center" vertical="center"/>
    </xf>
    <xf numFmtId="0" fontId="36" fillId="0" borderId="12" xfId="0" applyFont="1" applyFill="1" applyBorder="1" applyAlignment="1">
      <alignment horizontal="left" vertical="center" wrapText="1"/>
    </xf>
    <xf numFmtId="167" fontId="15" fillId="0" borderId="10" xfId="0" applyNumberFormat="1" applyFont="1" applyBorder="1" applyAlignment="1">
      <alignment horizontal="right" vertical="center"/>
    </xf>
    <xf numFmtId="167" fontId="31" fillId="0" borderId="10" xfId="0" applyNumberFormat="1" applyFont="1" applyBorder="1" applyAlignment="1">
      <alignment vertical="center"/>
    </xf>
    <xf numFmtId="3" fontId="11" fillId="0" borderId="0" xfId="0" applyNumberFormat="1" applyFont="1" applyAlignment="1">
      <alignment/>
    </xf>
    <xf numFmtId="0" fontId="73" fillId="0" borderId="10" xfId="0" applyFont="1" applyFill="1" applyBorder="1" applyAlignment="1">
      <alignment horizontal="center" vertical="center" wrapText="1"/>
    </xf>
    <xf numFmtId="0" fontId="11" fillId="0" borderId="10" xfId="0" applyFont="1" applyBorder="1" applyAlignment="1">
      <alignment/>
    </xf>
    <xf numFmtId="0" fontId="19" fillId="0" borderId="0" xfId="0" applyFont="1" applyAlignment="1">
      <alignment/>
    </xf>
    <xf numFmtId="0" fontId="25" fillId="0" borderId="22" xfId="0" applyFont="1" applyFill="1" applyBorder="1" applyAlignment="1">
      <alignment horizontal="center" vertical="center" wrapText="1"/>
    </xf>
    <xf numFmtId="0" fontId="33" fillId="0" borderId="0" xfId="0" applyFont="1" applyAlignment="1">
      <alignment vertical="center"/>
    </xf>
    <xf numFmtId="0" fontId="3" fillId="0" borderId="0" xfId="0" applyFont="1" applyBorder="1" applyAlignment="1">
      <alignment horizontal="left" wrapText="1"/>
    </xf>
    <xf numFmtId="0" fontId="3" fillId="0" borderId="0" xfId="0" applyFont="1" applyBorder="1" applyAlignment="1">
      <alignment horizontal="left" vertical="center" wrapText="1"/>
    </xf>
    <xf numFmtId="0" fontId="33" fillId="0" borderId="0" xfId="0" applyFont="1" applyBorder="1" applyAlignment="1">
      <alignment vertical="center"/>
    </xf>
    <xf numFmtId="0" fontId="15" fillId="0" borderId="0" xfId="0" applyFont="1" applyAlignment="1">
      <alignment/>
    </xf>
    <xf numFmtId="0" fontId="15" fillId="0" borderId="0" xfId="0" applyFont="1" applyAlignment="1">
      <alignment vertical="center"/>
    </xf>
    <xf numFmtId="0" fontId="36" fillId="0" borderId="0" xfId="0" applyFont="1" applyAlignment="1">
      <alignment vertical="center"/>
    </xf>
    <xf numFmtId="0" fontId="33" fillId="0" borderId="0" xfId="0" applyFont="1" applyAlignment="1">
      <alignment/>
    </xf>
    <xf numFmtId="0" fontId="26" fillId="0" borderId="0" xfId="0" applyFont="1" applyAlignment="1">
      <alignment vertical="center"/>
    </xf>
    <xf numFmtId="0" fontId="3" fillId="0" borderId="10" xfId="0" applyFont="1" applyBorder="1" applyAlignment="1">
      <alignment vertical="center"/>
    </xf>
    <xf numFmtId="0" fontId="26" fillId="0" borderId="15" xfId="0" applyNumberFormat="1" applyFont="1" applyFill="1" applyBorder="1" applyAlignment="1">
      <alignment vertical="center" wrapText="1"/>
    </xf>
    <xf numFmtId="9" fontId="26" fillId="0" borderId="34" xfId="79" applyFont="1" applyFill="1" applyBorder="1" applyAlignment="1">
      <alignment vertical="center"/>
    </xf>
    <xf numFmtId="9" fontId="26" fillId="0" borderId="15" xfId="79" applyFont="1" applyFill="1" applyBorder="1" applyAlignment="1">
      <alignment vertical="center"/>
    </xf>
    <xf numFmtId="0" fontId="55" fillId="0" borderId="0" xfId="0" applyFont="1" applyAlignment="1">
      <alignment vertical="center"/>
    </xf>
    <xf numFmtId="0" fontId="19" fillId="0" borderId="2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5" fillId="0" borderId="0" xfId="0"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10" fontId="20" fillId="0" borderId="17" xfId="56" applyNumberFormat="1" applyFont="1" applyFill="1" applyBorder="1" applyAlignment="1">
      <alignment horizontal="center" vertical="center"/>
    </xf>
    <xf numFmtId="10" fontId="20" fillId="0" borderId="17" xfId="0" applyNumberFormat="1" applyFont="1" applyFill="1" applyBorder="1" applyAlignment="1">
      <alignment horizontal="center" vertical="center"/>
    </xf>
    <xf numFmtId="2" fontId="20" fillId="0" borderId="17" xfId="79" applyNumberFormat="1" applyFont="1" applyFill="1"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xf>
    <xf numFmtId="0" fontId="23" fillId="0" borderId="0" xfId="0" applyFont="1" applyBorder="1" applyAlignment="1">
      <alignment horizontal="center"/>
    </xf>
    <xf numFmtId="0" fontId="22" fillId="0" borderId="0" xfId="0" applyFont="1" applyFill="1" applyBorder="1" applyAlignment="1">
      <alignment horizontal="center" vertical="center" wrapText="1"/>
    </xf>
    <xf numFmtId="0" fontId="23" fillId="0" borderId="0" xfId="0" applyFont="1" applyBorder="1" applyAlignment="1">
      <alignment horizontal="center" wrapText="1"/>
    </xf>
    <xf numFmtId="164" fontId="67" fillId="0" borderId="10" xfId="79" applyNumberFormat="1" applyFont="1" applyFill="1" applyBorder="1" applyAlignment="1">
      <alignment vertical="center" wrapText="1"/>
    </xf>
    <xf numFmtId="2" fontId="67" fillId="0" borderId="10" xfId="0" applyNumberFormat="1" applyFont="1" applyFill="1" applyBorder="1" applyAlignment="1">
      <alignment vertical="center" wrapText="1"/>
    </xf>
    <xf numFmtId="0" fontId="69" fillId="0" borderId="0" xfId="0" applyFont="1" applyAlignment="1">
      <alignment vertical="center"/>
    </xf>
    <xf numFmtId="0" fontId="56" fillId="0" borderId="10" xfId="0" applyFont="1" applyFill="1" applyBorder="1" applyAlignment="1">
      <alignment horizontal="right" wrapText="1"/>
    </xf>
    <xf numFmtId="164" fontId="26" fillId="0" borderId="10" xfId="79" applyNumberFormat="1" applyFont="1" applyFill="1" applyBorder="1" applyAlignment="1">
      <alignment vertical="center" wrapText="1"/>
    </xf>
    <xf numFmtId="2" fontId="26" fillId="0" borderId="10" xfId="0" applyNumberFormat="1" applyFont="1" applyFill="1" applyBorder="1" applyAlignment="1">
      <alignment vertical="center" wrapText="1"/>
    </xf>
    <xf numFmtId="173" fontId="66" fillId="0" borderId="0" xfId="56" applyNumberFormat="1" applyFont="1" applyFill="1" applyBorder="1" applyAlignment="1">
      <alignment vertical="center" wrapText="1"/>
    </xf>
    <xf numFmtId="0" fontId="30" fillId="0" borderId="13" xfId="0" applyFont="1" applyFill="1" applyBorder="1" applyAlignment="1">
      <alignment horizontal="center" vertical="center" wrapText="1"/>
    </xf>
    <xf numFmtId="173" fontId="18" fillId="0" borderId="10" xfId="56" applyNumberFormat="1" applyFont="1" applyFill="1" applyBorder="1" applyAlignment="1">
      <alignment vertical="center" wrapText="1"/>
    </xf>
    <xf numFmtId="173" fontId="16" fillId="0" borderId="33" xfId="56" applyNumberFormat="1" applyFont="1" applyFill="1" applyBorder="1" applyAlignment="1">
      <alignment vertical="center" wrapText="1"/>
    </xf>
    <xf numFmtId="173" fontId="16" fillId="0" borderId="15" xfId="56" applyNumberFormat="1" applyFont="1" applyFill="1" applyBorder="1" applyAlignment="1">
      <alignment vertical="center" wrapText="1"/>
    </xf>
    <xf numFmtId="173" fontId="16" fillId="0" borderId="10" xfId="56" applyNumberFormat="1" applyFont="1" applyFill="1" applyBorder="1" applyAlignment="1">
      <alignment vertical="center" wrapText="1"/>
    </xf>
    <xf numFmtId="173" fontId="31" fillId="0" borderId="33" xfId="0" applyNumberFormat="1" applyFont="1" applyBorder="1" applyAlignment="1">
      <alignment vertical="center"/>
    </xf>
    <xf numFmtId="173" fontId="17" fillId="0" borderId="10" xfId="56" applyNumberFormat="1" applyFont="1" applyFill="1" applyBorder="1" applyAlignment="1">
      <alignment vertical="center" wrapText="1"/>
    </xf>
    <xf numFmtId="0" fontId="16" fillId="0" borderId="15" xfId="0" applyFont="1" applyBorder="1" applyAlignment="1">
      <alignment vertical="center"/>
    </xf>
    <xf numFmtId="173" fontId="27" fillId="0" borderId="35" xfId="56" applyNumberFormat="1" applyFont="1" applyFill="1" applyBorder="1" applyAlignment="1">
      <alignment vertical="center" wrapText="1"/>
    </xf>
    <xf numFmtId="173" fontId="31" fillId="0" borderId="10" xfId="56" applyNumberFormat="1" applyFont="1" applyBorder="1" applyAlignment="1">
      <alignment vertical="center"/>
    </xf>
    <xf numFmtId="173" fontId="15" fillId="0" borderId="10" xfId="56" applyNumberFormat="1" applyFont="1" applyBorder="1" applyAlignment="1">
      <alignment vertical="center"/>
    </xf>
    <xf numFmtId="173" fontId="17" fillId="0" borderId="15" xfId="56" applyNumberFormat="1" applyFont="1" applyFill="1" applyBorder="1" applyAlignment="1">
      <alignment vertical="center" wrapText="1"/>
    </xf>
    <xf numFmtId="3" fontId="15" fillId="0" borderId="10" xfId="0" applyNumberFormat="1" applyFont="1" applyFill="1" applyBorder="1" applyAlignment="1">
      <alignment vertical="center"/>
    </xf>
    <xf numFmtId="0" fontId="15" fillId="0" borderId="15" xfId="0" applyFont="1" applyBorder="1" applyAlignment="1">
      <alignment vertical="center"/>
    </xf>
    <xf numFmtId="3" fontId="74" fillId="0" borderId="10" xfId="56" applyNumberFormat="1" applyFont="1" applyFill="1" applyBorder="1" applyAlignment="1">
      <alignment vertical="center" wrapText="1"/>
    </xf>
    <xf numFmtId="3" fontId="16" fillId="0" borderId="10" xfId="56" applyNumberFormat="1" applyFont="1" applyFill="1" applyBorder="1" applyAlignment="1">
      <alignment vertical="center" wrapText="1"/>
    </xf>
    <xf numFmtId="3" fontId="74" fillId="0" borderId="33" xfId="56" applyNumberFormat="1" applyFont="1" applyFill="1" applyBorder="1" applyAlignment="1">
      <alignment vertical="center" wrapText="1"/>
    </xf>
    <xf numFmtId="3" fontId="41" fillId="0" borderId="15" xfId="56" applyNumberFormat="1" applyFont="1" applyFill="1" applyBorder="1" applyAlignment="1">
      <alignment vertical="center" wrapText="1"/>
    </xf>
    <xf numFmtId="3" fontId="33" fillId="0" borderId="10" xfId="56" applyNumberFormat="1" applyFont="1" applyBorder="1" applyAlignment="1">
      <alignment vertical="center"/>
    </xf>
    <xf numFmtId="3" fontId="15" fillId="0" borderId="10" xfId="56" applyNumberFormat="1" applyFont="1" applyBorder="1" applyAlignment="1">
      <alignment vertical="center"/>
    </xf>
    <xf numFmtId="3" fontId="15" fillId="0" borderId="10" xfId="56" applyNumberFormat="1" applyFont="1" applyFill="1" applyBorder="1" applyAlignment="1">
      <alignment vertical="center"/>
    </xf>
    <xf numFmtId="3" fontId="33" fillId="0" borderId="10" xfId="56" applyNumberFormat="1" applyFont="1" applyFill="1" applyBorder="1" applyAlignment="1">
      <alignment vertical="center" wrapText="1"/>
    </xf>
    <xf numFmtId="3" fontId="18" fillId="0" borderId="33" xfId="56" applyNumberFormat="1" applyFont="1" applyFill="1" applyBorder="1" applyAlignment="1">
      <alignment vertical="center" wrapText="1"/>
    </xf>
    <xf numFmtId="173" fontId="15" fillId="0" borderId="10" xfId="56" applyNumberFormat="1" applyFont="1" applyFill="1" applyBorder="1" applyAlignment="1">
      <alignment vertical="center"/>
    </xf>
    <xf numFmtId="173" fontId="31" fillId="36" borderId="10" xfId="56" applyNumberFormat="1" applyFont="1" applyFill="1" applyBorder="1" applyAlignment="1">
      <alignment vertical="center"/>
    </xf>
    <xf numFmtId="3" fontId="15" fillId="0" borderId="15" xfId="79" applyNumberFormat="1" applyFont="1" applyFill="1" applyBorder="1" applyAlignment="1">
      <alignment vertical="center"/>
    </xf>
    <xf numFmtId="173" fontId="15" fillId="0" borderId="10" xfId="56" applyNumberFormat="1" applyFont="1" applyFill="1" applyBorder="1" applyAlignment="1">
      <alignment vertical="center" wrapText="1"/>
    </xf>
    <xf numFmtId="167" fontId="15" fillId="0" borderId="10" xfId="0" applyNumberFormat="1" applyFont="1" applyBorder="1" applyAlignment="1">
      <alignment vertical="center"/>
    </xf>
    <xf numFmtId="3" fontId="18" fillId="0" borderId="15" xfId="56" applyNumberFormat="1" applyFont="1" applyFill="1" applyBorder="1" applyAlignment="1">
      <alignment vertical="center" wrapText="1"/>
    </xf>
    <xf numFmtId="3" fontId="32" fillId="0" borderId="33" xfId="56" applyNumberFormat="1" applyFont="1" applyFill="1" applyBorder="1" applyAlignment="1">
      <alignment vertical="center" wrapText="1"/>
    </xf>
    <xf numFmtId="167" fontId="31" fillId="0" borderId="33" xfId="0" applyNumberFormat="1" applyFont="1" applyBorder="1" applyAlignment="1">
      <alignment vertical="center"/>
    </xf>
    <xf numFmtId="3" fontId="31" fillId="0" borderId="15" xfId="0" applyNumberFormat="1" applyFont="1" applyBorder="1" applyAlignment="1">
      <alignment vertical="center"/>
    </xf>
    <xf numFmtId="3" fontId="31" fillId="0" borderId="15" xfId="56" applyNumberFormat="1" applyFont="1" applyBorder="1" applyAlignment="1">
      <alignment vertical="center"/>
    </xf>
    <xf numFmtId="3" fontId="15" fillId="0" borderId="36" xfId="0" applyNumberFormat="1" applyFont="1" applyBorder="1" applyAlignment="1">
      <alignment horizontal="center" vertical="center"/>
    </xf>
    <xf numFmtId="3" fontId="26" fillId="0" borderId="0" xfId="0" applyNumberFormat="1" applyFont="1" applyFill="1" applyBorder="1" applyAlignment="1">
      <alignment horizontal="center" vertical="center" wrapText="1"/>
    </xf>
    <xf numFmtId="3" fontId="15" fillId="0" borderId="17" xfId="65" applyNumberFormat="1" applyFont="1" applyBorder="1" applyAlignment="1">
      <alignment horizontal="center" vertical="center"/>
      <protection/>
    </xf>
    <xf numFmtId="10" fontId="15" fillId="0" borderId="17" xfId="65" applyNumberFormat="1" applyFont="1" applyBorder="1" applyAlignment="1">
      <alignment horizontal="center" vertical="center"/>
      <protection/>
    </xf>
    <xf numFmtId="3" fontId="15" fillId="0" borderId="18" xfId="65" applyNumberFormat="1" applyFont="1" applyBorder="1" applyAlignment="1">
      <alignment horizontal="center" vertical="center"/>
      <protection/>
    </xf>
    <xf numFmtId="10" fontId="15" fillId="0" borderId="18" xfId="65" applyNumberFormat="1" applyFont="1" applyBorder="1" applyAlignment="1">
      <alignment horizontal="center" vertical="center"/>
      <protection/>
    </xf>
    <xf numFmtId="3" fontId="15" fillId="0" borderId="14" xfId="65" applyNumberFormat="1" applyFont="1" applyBorder="1" applyAlignment="1">
      <alignment horizontal="center" vertical="center"/>
      <protection/>
    </xf>
    <xf numFmtId="10" fontId="15" fillId="0" borderId="14" xfId="65" applyNumberFormat="1" applyFont="1" applyBorder="1" applyAlignment="1">
      <alignment horizontal="center" vertical="center"/>
      <protection/>
    </xf>
    <xf numFmtId="10" fontId="15" fillId="0" borderId="29" xfId="65" applyNumberFormat="1" applyFont="1" applyBorder="1" applyAlignment="1">
      <alignment horizontal="center" vertical="center"/>
      <protection/>
    </xf>
    <xf numFmtId="10" fontId="15" fillId="0" borderId="25" xfId="65" applyNumberFormat="1" applyFont="1" applyBorder="1" applyAlignment="1">
      <alignment horizontal="center" vertical="center"/>
      <protection/>
    </xf>
    <xf numFmtId="173" fontId="31" fillId="0" borderId="10" xfId="56" applyNumberFormat="1" applyFont="1" applyFill="1" applyBorder="1" applyAlignment="1">
      <alignment vertical="center" wrapText="1"/>
    </xf>
    <xf numFmtId="0" fontId="16" fillId="0" borderId="10" xfId="65" applyFont="1" applyFill="1" applyBorder="1" applyAlignment="1">
      <alignment vertical="center" wrapText="1"/>
      <protection/>
    </xf>
    <xf numFmtId="0" fontId="78" fillId="0" borderId="10" xfId="65" applyFont="1" applyFill="1" applyBorder="1" applyAlignment="1">
      <alignment horizontal="left" vertical="center" wrapText="1"/>
      <protection/>
    </xf>
    <xf numFmtId="0" fontId="79" fillId="0" borderId="10" xfId="65" applyFont="1" applyFill="1" applyBorder="1" applyAlignment="1">
      <alignment horizontal="right" vertical="center" wrapText="1"/>
      <protection/>
    </xf>
    <xf numFmtId="173" fontId="15" fillId="0" borderId="10" xfId="58" applyNumberFormat="1" applyFont="1" applyBorder="1" applyAlignment="1">
      <alignment vertical="center"/>
    </xf>
    <xf numFmtId="173" fontId="16" fillId="0" borderId="10" xfId="58" applyNumberFormat="1" applyFont="1" applyFill="1" applyBorder="1" applyAlignment="1">
      <alignment vertical="center" wrapText="1"/>
    </xf>
    <xf numFmtId="173" fontId="15" fillId="0" borderId="10" xfId="58" applyNumberFormat="1" applyFont="1" applyFill="1" applyBorder="1" applyAlignment="1">
      <alignment vertical="center"/>
    </xf>
    <xf numFmtId="0" fontId="80" fillId="0" borderId="10" xfId="65" applyFont="1" applyBorder="1" applyAlignment="1">
      <alignment vertical="center"/>
      <protection/>
    </xf>
    <xf numFmtId="0" fontId="79" fillId="0" borderId="10" xfId="65" applyFont="1" applyFill="1" applyBorder="1" applyAlignment="1">
      <alignment horizontal="left" vertical="center" wrapText="1"/>
      <protection/>
    </xf>
    <xf numFmtId="173" fontId="15" fillId="0" borderId="10" xfId="59" applyNumberFormat="1" applyFont="1" applyBorder="1" applyAlignment="1">
      <alignment vertical="center"/>
    </xf>
    <xf numFmtId="173" fontId="17" fillId="0" borderId="10" xfId="59" applyNumberFormat="1" applyFont="1" applyFill="1" applyBorder="1" applyAlignment="1">
      <alignment vertical="center" wrapText="1"/>
    </xf>
    <xf numFmtId="173" fontId="33" fillId="0" borderId="33" xfId="59" applyNumberFormat="1" applyFont="1" applyBorder="1" applyAlignment="1">
      <alignment vertical="center"/>
    </xf>
    <xf numFmtId="173" fontId="33" fillId="0" borderId="10" xfId="59" applyNumberFormat="1" applyFont="1" applyBorder="1" applyAlignment="1">
      <alignment vertical="center"/>
    </xf>
    <xf numFmtId="173" fontId="38" fillId="0" borderId="10" xfId="59" applyNumberFormat="1" applyFont="1" applyFill="1" applyBorder="1" applyAlignment="1">
      <alignment vertical="center" wrapText="1"/>
    </xf>
    <xf numFmtId="0" fontId="33" fillId="0" borderId="10" xfId="65" applyFont="1" applyBorder="1">
      <alignment/>
      <protection/>
    </xf>
    <xf numFmtId="0" fontId="33" fillId="0" borderId="13" xfId="65" applyFont="1" applyBorder="1" applyAlignment="1">
      <alignment horizontal="left" vertical="center"/>
      <protection/>
    </xf>
    <xf numFmtId="0" fontId="33" fillId="0" borderId="13" xfId="65" applyFont="1" applyBorder="1" applyAlignment="1">
      <alignment horizontal="left" vertical="center" wrapText="1"/>
      <protection/>
    </xf>
    <xf numFmtId="0" fontId="33" fillId="0" borderId="10" xfId="65" applyFont="1" applyBorder="1" applyAlignment="1">
      <alignment horizontal="left" vertical="center"/>
      <protection/>
    </xf>
    <xf numFmtId="3" fontId="18" fillId="0" borderId="33" xfId="59" applyNumberFormat="1" applyFont="1" applyFill="1" applyBorder="1" applyAlignment="1">
      <alignment vertical="center" wrapText="1"/>
    </xf>
    <xf numFmtId="3" fontId="18" fillId="0" borderId="35" xfId="59" applyNumberFormat="1" applyFont="1" applyFill="1" applyBorder="1" applyAlignment="1">
      <alignment vertical="center" wrapText="1"/>
    </xf>
    <xf numFmtId="0" fontId="33" fillId="0" borderId="33" xfId="65" applyFont="1" applyBorder="1">
      <alignment/>
      <protection/>
    </xf>
    <xf numFmtId="173" fontId="15" fillId="0" borderId="33" xfId="59" applyNumberFormat="1" applyFont="1" applyBorder="1" applyAlignment="1">
      <alignment vertical="center"/>
    </xf>
    <xf numFmtId="173" fontId="38" fillId="0" borderId="33" xfId="59" applyNumberFormat="1" applyFont="1" applyFill="1" applyBorder="1" applyAlignment="1">
      <alignment vertical="center" wrapText="1"/>
    </xf>
    <xf numFmtId="0" fontId="33" fillId="0" borderId="15" xfId="65" applyFont="1" applyBorder="1">
      <alignment/>
      <protection/>
    </xf>
    <xf numFmtId="173" fontId="15" fillId="0" borderId="15" xfId="59" applyNumberFormat="1" applyFont="1" applyBorder="1" applyAlignment="1">
      <alignment vertical="center"/>
    </xf>
    <xf numFmtId="173" fontId="38" fillId="0" borderId="15" xfId="59" applyNumberFormat="1" applyFont="1" applyFill="1" applyBorder="1" applyAlignment="1">
      <alignment vertical="center" wrapText="1"/>
    </xf>
    <xf numFmtId="0" fontId="33" fillId="0" borderId="33" xfId="65" applyFont="1" applyBorder="1" applyAlignment="1">
      <alignment horizontal="left" vertical="center"/>
      <protection/>
    </xf>
    <xf numFmtId="173" fontId="17" fillId="0" borderId="33" xfId="59" applyNumberFormat="1" applyFont="1" applyFill="1" applyBorder="1" applyAlignment="1">
      <alignment vertical="center" wrapText="1"/>
    </xf>
    <xf numFmtId="0" fontId="33" fillId="0" borderId="13" xfId="65" applyFont="1" applyBorder="1">
      <alignment/>
      <protection/>
    </xf>
    <xf numFmtId="173" fontId="15" fillId="0" borderId="13" xfId="59" applyNumberFormat="1" applyFont="1" applyBorder="1" applyAlignment="1">
      <alignment vertical="center"/>
    </xf>
    <xf numFmtId="0" fontId="3" fillId="0" borderId="33" xfId="65" applyFont="1" applyBorder="1">
      <alignment/>
      <protection/>
    </xf>
    <xf numFmtId="173" fontId="31" fillId="0" borderId="33" xfId="59" applyNumberFormat="1" applyFont="1" applyBorder="1" applyAlignment="1">
      <alignment vertical="center"/>
    </xf>
    <xf numFmtId="0" fontId="33" fillId="0" borderId="33" xfId="65" applyFont="1" applyBorder="1" applyAlignment="1">
      <alignment horizontal="left" vertical="center" wrapText="1"/>
      <protection/>
    </xf>
    <xf numFmtId="0" fontId="35" fillId="0" borderId="10" xfId="65" applyFont="1" applyFill="1" applyBorder="1" applyAlignment="1">
      <alignment horizontal="left" vertical="center" wrapText="1"/>
      <protection/>
    </xf>
    <xf numFmtId="0" fontId="35" fillId="0" borderId="10" xfId="65" applyFont="1" applyFill="1" applyBorder="1" applyAlignment="1">
      <alignment horizontal="right" vertical="center" wrapText="1"/>
      <protection/>
    </xf>
    <xf numFmtId="0" fontId="82" fillId="0" borderId="33" xfId="65" applyFont="1" applyFill="1" applyBorder="1" applyAlignment="1">
      <alignment horizontal="right" wrapText="1"/>
      <protection/>
    </xf>
    <xf numFmtId="0" fontId="81" fillId="0" borderId="10" xfId="65" applyFont="1" applyFill="1" applyBorder="1" applyAlignment="1">
      <alignment horizontal="right" wrapText="1"/>
      <protection/>
    </xf>
    <xf numFmtId="0" fontId="81" fillId="0" borderId="15" xfId="65" applyFont="1" applyFill="1" applyBorder="1" applyAlignment="1">
      <alignment horizontal="right" wrapText="1"/>
      <protection/>
    </xf>
    <xf numFmtId="167" fontId="12" fillId="0" borderId="33" xfId="65" applyNumberFormat="1" applyFont="1" applyBorder="1">
      <alignment/>
      <protection/>
    </xf>
    <xf numFmtId="167" fontId="0" fillId="0" borderId="10" xfId="65" applyNumberFormat="1" applyBorder="1">
      <alignment/>
      <protection/>
    </xf>
    <xf numFmtId="167" fontId="0" fillId="0" borderId="15" xfId="65" applyNumberFormat="1" applyBorder="1">
      <alignment/>
      <protection/>
    </xf>
    <xf numFmtId="167" fontId="40" fillId="0" borderId="37" xfId="65" applyNumberFormat="1" applyFont="1" applyBorder="1">
      <alignment/>
      <protection/>
    </xf>
    <xf numFmtId="0" fontId="83" fillId="0" borderId="37" xfId="65" applyFont="1" applyFill="1" applyBorder="1" applyAlignment="1">
      <alignment horizontal="right" wrapText="1"/>
      <protection/>
    </xf>
    <xf numFmtId="167" fontId="12" fillId="0" borderId="10" xfId="65" applyNumberFormat="1" applyFont="1" applyBorder="1">
      <alignment/>
      <protection/>
    </xf>
    <xf numFmtId="167" fontId="12" fillId="0" borderId="15" xfId="65" applyNumberFormat="1" applyFont="1" applyBorder="1">
      <alignment/>
      <protection/>
    </xf>
    <xf numFmtId="0" fontId="84" fillId="0" borderId="10" xfId="65" applyFont="1" applyFill="1" applyBorder="1" applyAlignment="1">
      <alignment horizontal="right" wrapText="1"/>
      <protection/>
    </xf>
    <xf numFmtId="164" fontId="16" fillId="0" borderId="10" xfId="79" applyNumberFormat="1" applyFont="1" applyFill="1" applyBorder="1" applyAlignment="1">
      <alignment vertical="center" wrapText="1"/>
    </xf>
    <xf numFmtId="10" fontId="33" fillId="0" borderId="10" xfId="65" applyNumberFormat="1" applyFont="1" applyBorder="1" applyAlignment="1">
      <alignment vertical="center"/>
      <protection/>
    </xf>
    <xf numFmtId="164" fontId="41" fillId="0" borderId="10" xfId="79" applyNumberFormat="1" applyFont="1" applyFill="1" applyBorder="1" applyAlignment="1">
      <alignment vertical="center" wrapText="1"/>
    </xf>
    <xf numFmtId="0" fontId="33" fillId="0" borderId="12" xfId="65" applyFont="1" applyBorder="1" applyAlignment="1">
      <alignment vertical="center"/>
      <protection/>
    </xf>
    <xf numFmtId="10" fontId="33" fillId="0" borderId="10" xfId="79" applyNumberFormat="1" applyFont="1" applyBorder="1" applyAlignment="1">
      <alignment vertical="center"/>
    </xf>
    <xf numFmtId="0" fontId="35" fillId="0" borderId="10" xfId="65" applyFont="1" applyFill="1" applyBorder="1" applyAlignment="1">
      <alignment horizontal="left" vertical="center"/>
      <protection/>
    </xf>
    <xf numFmtId="0" fontId="17" fillId="35" borderId="10" xfId="65" applyFont="1" applyFill="1" applyBorder="1" applyAlignment="1">
      <alignment vertical="center" wrapText="1"/>
      <protection/>
    </xf>
    <xf numFmtId="0" fontId="32" fillId="35" borderId="10" xfId="65" applyFont="1" applyFill="1" applyBorder="1" applyAlignment="1">
      <alignment vertical="center" wrapText="1"/>
      <protection/>
    </xf>
    <xf numFmtId="164" fontId="17" fillId="35" borderId="10" xfId="79" applyNumberFormat="1" applyFont="1" applyFill="1" applyBorder="1" applyAlignment="1">
      <alignment vertical="center" wrapText="1"/>
    </xf>
    <xf numFmtId="164" fontId="38" fillId="35" borderId="10" xfId="79" applyNumberFormat="1" applyFont="1" applyFill="1" applyBorder="1" applyAlignment="1">
      <alignment vertical="center" wrapText="1"/>
    </xf>
    <xf numFmtId="0" fontId="35" fillId="0" borderId="13" xfId="65" applyFont="1" applyFill="1" applyBorder="1" applyAlignment="1">
      <alignment horizontal="center" vertical="center" wrapText="1"/>
      <protection/>
    </xf>
    <xf numFmtId="0" fontId="35" fillId="0" borderId="13" xfId="65" applyFont="1" applyFill="1" applyBorder="1" applyAlignment="1">
      <alignment horizontal="right" vertical="center" wrapText="1"/>
      <protection/>
    </xf>
    <xf numFmtId="173" fontId="18" fillId="0" borderId="10" xfId="51" applyNumberFormat="1" applyFont="1" applyFill="1" applyBorder="1" applyAlignment="1">
      <alignment vertical="center" wrapText="1"/>
    </xf>
    <xf numFmtId="0" fontId="18" fillId="0" borderId="10" xfId="65" applyFont="1" applyFill="1" applyBorder="1" applyAlignment="1">
      <alignment vertical="center" wrapText="1"/>
      <protection/>
    </xf>
    <xf numFmtId="3" fontId="16" fillId="0" borderId="10" xfId="65" applyNumberFormat="1" applyFont="1" applyFill="1" applyBorder="1" applyAlignment="1">
      <alignment vertical="center" wrapText="1"/>
      <protection/>
    </xf>
    <xf numFmtId="3" fontId="15" fillId="0" borderId="10" xfId="65" applyNumberFormat="1" applyFont="1" applyBorder="1" applyAlignment="1">
      <alignment vertical="center"/>
      <protection/>
    </xf>
    <xf numFmtId="0" fontId="40" fillId="0" borderId="0" xfId="0" applyFont="1" applyBorder="1" applyAlignment="1">
      <alignment vertical="center"/>
    </xf>
    <xf numFmtId="0" fontId="31" fillId="0" borderId="16" xfId="0" applyFont="1" applyBorder="1" applyAlignment="1">
      <alignment horizontal="center" vertical="center" wrapText="1"/>
    </xf>
    <xf numFmtId="10" fontId="15" fillId="0" borderId="25" xfId="0" applyNumberFormat="1" applyFont="1" applyBorder="1" applyAlignment="1">
      <alignment horizontal="center" vertical="center"/>
    </xf>
    <xf numFmtId="3" fontId="35" fillId="0" borderId="10" xfId="0" applyNumberFormat="1" applyFont="1" applyFill="1" applyBorder="1" applyAlignment="1">
      <alignment horizontal="center" vertical="center" wrapText="1"/>
    </xf>
    <xf numFmtId="173" fontId="31" fillId="0" borderId="10" xfId="58" applyNumberFormat="1" applyFont="1" applyBorder="1" applyAlignment="1">
      <alignment vertical="center"/>
    </xf>
    <xf numFmtId="173" fontId="31" fillId="0" borderId="10" xfId="0" applyNumberFormat="1" applyFont="1" applyBorder="1" applyAlignment="1">
      <alignment vertical="center"/>
    </xf>
    <xf numFmtId="0" fontId="34" fillId="0" borderId="0" xfId="65" applyFont="1" applyBorder="1" applyAlignment="1">
      <alignment horizontal="left" vertical="center" wrapText="1"/>
      <protection/>
    </xf>
    <xf numFmtId="3" fontId="72" fillId="0" borderId="10" xfId="65" applyNumberFormat="1" applyFont="1" applyFill="1" applyBorder="1" applyAlignment="1">
      <alignment horizontal="center" vertical="center" wrapText="1"/>
      <protection/>
    </xf>
    <xf numFmtId="0" fontId="0" fillId="0" borderId="10" xfId="0" applyBorder="1" applyAlignment="1">
      <alignment/>
    </xf>
    <xf numFmtId="0" fontId="0" fillId="0" borderId="10" xfId="0" applyNumberFormat="1" applyBorder="1" applyAlignment="1">
      <alignment/>
    </xf>
    <xf numFmtId="0" fontId="133" fillId="0" borderId="10" xfId="0" applyFont="1" applyBorder="1" applyAlignment="1">
      <alignment/>
    </xf>
    <xf numFmtId="0" fontId="133" fillId="0" borderId="10" xfId="0" applyNumberFormat="1" applyFont="1" applyBorder="1" applyAlignment="1">
      <alignment/>
    </xf>
    <xf numFmtId="0" fontId="133" fillId="0" borderId="0" xfId="0" applyFont="1" applyAlignment="1">
      <alignment/>
    </xf>
    <xf numFmtId="164" fontId="136" fillId="0" borderId="37" xfId="79" applyNumberFormat="1" applyFont="1" applyBorder="1" applyAlignment="1">
      <alignment/>
    </xf>
    <xf numFmtId="164" fontId="136" fillId="0" borderId="38" xfId="79" applyNumberFormat="1" applyFont="1" applyBorder="1" applyAlignment="1">
      <alignment/>
    </xf>
    <xf numFmtId="0" fontId="133" fillId="0" borderId="0" xfId="0" applyFont="1" applyBorder="1" applyAlignment="1">
      <alignment/>
    </xf>
    <xf numFmtId="0" fontId="117" fillId="0" borderId="0" xfId="0" applyFont="1" applyAlignment="1">
      <alignment/>
    </xf>
    <xf numFmtId="0" fontId="137" fillId="0" borderId="39" xfId="0" applyFont="1" applyBorder="1" applyAlignment="1">
      <alignment wrapText="1"/>
    </xf>
    <xf numFmtId="1" fontId="138" fillId="0" borderId="40" xfId="0" applyNumberFormat="1" applyFont="1" applyBorder="1" applyAlignment="1">
      <alignment/>
    </xf>
    <xf numFmtId="164" fontId="139" fillId="0" borderId="41" xfId="79" applyNumberFormat="1" applyFont="1" applyBorder="1" applyAlignment="1">
      <alignment/>
    </xf>
    <xf numFmtId="0" fontId="137" fillId="0" borderId="42" xfId="0" applyFont="1" applyBorder="1" applyAlignment="1">
      <alignment wrapText="1"/>
    </xf>
    <xf numFmtId="1" fontId="138" fillId="0" borderId="10" xfId="0" applyNumberFormat="1" applyFont="1" applyBorder="1" applyAlignment="1">
      <alignment/>
    </xf>
    <xf numFmtId="164" fontId="139" fillId="0" borderId="43" xfId="79" applyNumberFormat="1" applyFont="1" applyBorder="1" applyAlignment="1">
      <alignment/>
    </xf>
    <xf numFmtId="0" fontId="140" fillId="0" borderId="44" xfId="0" applyFont="1" applyBorder="1" applyAlignment="1">
      <alignment wrapText="1"/>
    </xf>
    <xf numFmtId="1" fontId="140" fillId="0" borderId="30" xfId="0" applyNumberFormat="1" applyFont="1" applyBorder="1" applyAlignment="1">
      <alignment/>
    </xf>
    <xf numFmtId="164" fontId="139" fillId="0" borderId="45" xfId="79" applyNumberFormat="1" applyFont="1" applyBorder="1" applyAlignment="1">
      <alignment/>
    </xf>
    <xf numFmtId="0" fontId="141" fillId="0" borderId="0" xfId="0" applyFont="1" applyAlignment="1">
      <alignment/>
    </xf>
    <xf numFmtId="0" fontId="0" fillId="0" borderId="0" xfId="0" applyNumberFormat="1" applyFill="1" applyAlignment="1">
      <alignment/>
    </xf>
    <xf numFmtId="164" fontId="0" fillId="0" borderId="10" xfId="79" applyNumberFormat="1" applyFont="1" applyBorder="1" applyAlignment="1">
      <alignment/>
    </xf>
    <xf numFmtId="164" fontId="0" fillId="0" borderId="0" xfId="79" applyNumberFormat="1" applyFont="1" applyAlignment="1">
      <alignment/>
    </xf>
    <xf numFmtId="164" fontId="133" fillId="0" borderId="10" xfId="79" applyNumberFormat="1" applyFont="1" applyBorder="1" applyAlignment="1">
      <alignment/>
    </xf>
    <xf numFmtId="164" fontId="133" fillId="0" borderId="0" xfId="79" applyNumberFormat="1" applyFont="1" applyAlignment="1">
      <alignment/>
    </xf>
    <xf numFmtId="0" fontId="45" fillId="0" borderId="0" xfId="65" applyFont="1" applyBorder="1" applyAlignment="1">
      <alignment horizontal="left" vertical="center"/>
      <protection/>
    </xf>
    <xf numFmtId="0" fontId="0" fillId="0" borderId="10" xfId="0" applyBorder="1" applyAlignment="1">
      <alignment horizontal="left"/>
    </xf>
    <xf numFmtId="1" fontId="0" fillId="0" borderId="10" xfId="0" applyNumberFormat="1" applyBorder="1" applyAlignment="1">
      <alignment/>
    </xf>
    <xf numFmtId="1" fontId="0" fillId="0" borderId="0" xfId="0" applyNumberFormat="1" applyAlignment="1">
      <alignment/>
    </xf>
    <xf numFmtId="0" fontId="0" fillId="0" borderId="0" xfId="0" applyAlignment="1">
      <alignment horizontal="left"/>
    </xf>
    <xf numFmtId="0" fontId="0" fillId="0" borderId="0" xfId="0" applyFill="1" applyAlignment="1">
      <alignment/>
    </xf>
    <xf numFmtId="164" fontId="0" fillId="0" borderId="10" xfId="79" applyNumberFormat="1" applyFont="1" applyFill="1" applyBorder="1" applyAlignment="1">
      <alignment/>
    </xf>
    <xf numFmtId="164" fontId="0" fillId="0" borderId="0" xfId="79" applyNumberFormat="1" applyFont="1" applyFill="1" applyAlignment="1">
      <alignment/>
    </xf>
    <xf numFmtId="173" fontId="16" fillId="0" borderId="10" xfId="56" applyNumberFormat="1" applyFont="1" applyFill="1" applyBorder="1" applyAlignment="1">
      <alignment horizontal="right" vertical="center" wrapText="1"/>
    </xf>
    <xf numFmtId="173" fontId="16" fillId="0" borderId="10" xfId="56" applyNumberFormat="1" applyFont="1" applyFill="1" applyBorder="1" applyAlignment="1">
      <alignment horizontal="right" vertical="center" wrapText="1"/>
    </xf>
    <xf numFmtId="164" fontId="5" fillId="0" borderId="15" xfId="79" applyNumberFormat="1" applyFont="1" applyBorder="1" applyAlignment="1">
      <alignment horizontal="right" vertical="center"/>
    </xf>
    <xf numFmtId="10" fontId="58" fillId="34" borderId="15" xfId="79" applyNumberFormat="1" applyFont="1" applyFill="1" applyBorder="1" applyAlignment="1">
      <alignment horizontal="center" vertical="center"/>
    </xf>
    <xf numFmtId="2" fontId="58" fillId="34" borderId="15" xfId="79" applyNumberFormat="1" applyFont="1" applyFill="1" applyBorder="1" applyAlignment="1">
      <alignment horizontal="center" vertical="center"/>
    </xf>
    <xf numFmtId="164" fontId="5" fillId="0" borderId="33" xfId="79" applyNumberFormat="1" applyFont="1" applyBorder="1" applyAlignment="1">
      <alignment vertical="center"/>
    </xf>
    <xf numFmtId="10" fontId="55" fillId="34" borderId="33" xfId="79" applyNumberFormat="1" applyFont="1" applyFill="1" applyBorder="1" applyAlignment="1">
      <alignment horizontal="center" vertical="center"/>
    </xf>
    <xf numFmtId="2" fontId="55" fillId="34" borderId="33" xfId="79" applyNumberFormat="1" applyFont="1" applyFill="1" applyBorder="1" applyAlignment="1">
      <alignment horizontal="center" vertical="center"/>
    </xf>
    <xf numFmtId="10" fontId="58" fillId="34" borderId="33" xfId="79" applyNumberFormat="1" applyFont="1" applyFill="1" applyBorder="1" applyAlignment="1">
      <alignment horizontal="center" vertical="center"/>
    </xf>
    <xf numFmtId="2" fontId="58" fillId="34" borderId="33" xfId="79" applyNumberFormat="1" applyFont="1" applyFill="1" applyBorder="1" applyAlignment="1">
      <alignment horizontal="center" vertical="center"/>
    </xf>
    <xf numFmtId="164" fontId="5" fillId="0" borderId="37" xfId="79" applyNumberFormat="1" applyFont="1" applyBorder="1" applyAlignment="1">
      <alignment vertical="center"/>
    </xf>
    <xf numFmtId="10" fontId="58" fillId="34" borderId="37" xfId="79" applyNumberFormat="1" applyFont="1" applyFill="1" applyBorder="1" applyAlignment="1">
      <alignment horizontal="center" vertical="center"/>
    </xf>
    <xf numFmtId="2" fontId="58" fillId="34" borderId="37" xfId="79" applyNumberFormat="1" applyFont="1" applyFill="1" applyBorder="1" applyAlignment="1">
      <alignment horizontal="center" vertical="center"/>
    </xf>
    <xf numFmtId="10" fontId="5" fillId="34" borderId="15" xfId="79" applyNumberFormat="1" applyFont="1" applyFill="1" applyBorder="1" applyAlignment="1">
      <alignment horizontal="center" vertical="center"/>
    </xf>
    <xf numFmtId="2" fontId="5" fillId="34" borderId="15" xfId="79" applyNumberFormat="1" applyFont="1" applyFill="1" applyBorder="1" applyAlignment="1">
      <alignment horizontal="center" vertical="center"/>
    </xf>
    <xf numFmtId="0" fontId="26" fillId="0" borderId="33" xfId="0" applyNumberFormat="1" applyFont="1" applyFill="1" applyBorder="1" applyAlignment="1">
      <alignment vertical="center" wrapText="1"/>
    </xf>
    <xf numFmtId="0" fontId="5" fillId="0" borderId="15" xfId="0" applyNumberFormat="1" applyFont="1" applyFill="1" applyBorder="1" applyAlignment="1">
      <alignment vertical="center" wrapText="1"/>
    </xf>
    <xf numFmtId="10" fontId="5" fillId="0" borderId="15" xfId="0" applyNumberFormat="1" applyFont="1" applyFill="1" applyBorder="1" applyAlignment="1">
      <alignment vertical="center"/>
    </xf>
    <xf numFmtId="10" fontId="55" fillId="34" borderId="15" xfId="79" applyNumberFormat="1" applyFont="1" applyFill="1" applyBorder="1" applyAlignment="1">
      <alignment horizontal="center" vertical="center"/>
    </xf>
    <xf numFmtId="2" fontId="55" fillId="34" borderId="15" xfId="79" applyNumberFormat="1" applyFont="1" applyFill="1" applyBorder="1" applyAlignment="1">
      <alignment horizontal="center" vertical="center"/>
    </xf>
    <xf numFmtId="9" fontId="5" fillId="0" borderId="33" xfId="79" applyFont="1" applyFill="1" applyBorder="1" applyAlignment="1">
      <alignment vertical="center"/>
    </xf>
    <xf numFmtId="10" fontId="26" fillId="34" borderId="33" xfId="79" applyNumberFormat="1" applyFont="1" applyFill="1" applyBorder="1" applyAlignment="1">
      <alignment horizontal="center" vertical="center"/>
    </xf>
    <xf numFmtId="2" fontId="26" fillId="34" borderId="33" xfId="79" applyNumberFormat="1" applyFont="1" applyFill="1" applyBorder="1" applyAlignment="1">
      <alignment horizontal="center" vertical="center"/>
    </xf>
    <xf numFmtId="173" fontId="17" fillId="0" borderId="10" xfId="56" applyNumberFormat="1" applyFont="1" applyFill="1" applyBorder="1" applyAlignment="1">
      <alignment horizontal="right" vertical="center" wrapText="1"/>
    </xf>
    <xf numFmtId="9" fontId="67" fillId="0" borderId="10" xfId="79" applyFont="1" applyFill="1" applyBorder="1" applyAlignment="1">
      <alignment horizontal="right" vertical="center"/>
    </xf>
    <xf numFmtId="10" fontId="67" fillId="34" borderId="10" xfId="79" applyNumberFormat="1" applyFont="1" applyFill="1" applyBorder="1" applyAlignment="1">
      <alignment horizontal="center" vertical="center"/>
    </xf>
    <xf numFmtId="10" fontId="67" fillId="34" borderId="10" xfId="79" applyNumberFormat="1" applyFont="1" applyFill="1" applyBorder="1" applyAlignment="1">
      <alignment horizontal="right" vertical="center"/>
    </xf>
    <xf numFmtId="2" fontId="67" fillId="34" borderId="10" xfId="79" applyNumberFormat="1" applyFont="1" applyFill="1" applyBorder="1" applyAlignment="1">
      <alignment horizontal="center" vertical="center"/>
    </xf>
    <xf numFmtId="173" fontId="18" fillId="0" borderId="10" xfId="56" applyNumberFormat="1" applyFont="1" applyFill="1" applyBorder="1" applyAlignment="1">
      <alignment horizontal="right" vertical="center" wrapText="1"/>
    </xf>
    <xf numFmtId="0" fontId="26" fillId="0" borderId="10" xfId="0" applyNumberFormat="1" applyFont="1" applyFill="1" applyBorder="1" applyAlignment="1">
      <alignment vertical="center" wrapText="1"/>
    </xf>
    <xf numFmtId="0" fontId="15" fillId="0" borderId="10" xfId="0" applyFont="1" applyBorder="1" applyAlignment="1">
      <alignment vertical="center"/>
    </xf>
    <xf numFmtId="9" fontId="26" fillId="0" borderId="11" xfId="79" applyFont="1" applyFill="1" applyBorder="1" applyAlignment="1">
      <alignment vertical="center"/>
    </xf>
    <xf numFmtId="9" fontId="26" fillId="0" borderId="10" xfId="79" applyFont="1" applyFill="1" applyBorder="1" applyAlignment="1">
      <alignment vertical="center"/>
    </xf>
    <xf numFmtId="173" fontId="52" fillId="0" borderId="10" xfId="56" applyNumberFormat="1" applyFont="1" applyFill="1" applyBorder="1" applyAlignment="1">
      <alignment vertical="center" wrapText="1"/>
    </xf>
    <xf numFmtId="173" fontId="15" fillId="0" borderId="10" xfId="56" applyNumberFormat="1" applyFont="1" applyFill="1" applyBorder="1" applyAlignment="1">
      <alignment vertical="center" wrapText="1"/>
    </xf>
    <xf numFmtId="3" fontId="15" fillId="0" borderId="10" xfId="0" applyNumberFormat="1" applyFont="1" applyFill="1" applyBorder="1" applyAlignment="1">
      <alignment vertical="center"/>
    </xf>
    <xf numFmtId="10" fontId="142" fillId="34" borderId="10" xfId="79" applyNumberFormat="1" applyFont="1" applyFill="1" applyBorder="1" applyAlignment="1">
      <alignment horizontal="center" vertical="center"/>
    </xf>
    <xf numFmtId="2" fontId="142" fillId="34" borderId="10" xfId="79" applyNumberFormat="1" applyFont="1" applyFill="1" applyBorder="1" applyAlignment="1">
      <alignment horizontal="center" vertical="center"/>
    </xf>
    <xf numFmtId="0" fontId="33" fillId="0" borderId="0" xfId="65" applyFont="1" applyAlignment="1">
      <alignment vertical="center"/>
      <protection/>
    </xf>
    <xf numFmtId="0" fontId="27" fillId="0" borderId="0" xfId="0" applyFont="1" applyFill="1" applyBorder="1" applyAlignment="1">
      <alignment vertical="center" wrapText="1"/>
    </xf>
    <xf numFmtId="164" fontId="26" fillId="0" borderId="10" xfId="79" applyNumberFormat="1" applyFont="1" applyBorder="1" applyAlignment="1">
      <alignment horizontal="right" vertical="center"/>
    </xf>
    <xf numFmtId="0" fontId="143" fillId="0" borderId="10" xfId="0" applyFont="1" applyFill="1" applyBorder="1" applyAlignment="1">
      <alignment horizontal="right" vertical="center" wrapText="1"/>
    </xf>
    <xf numFmtId="3" fontId="30" fillId="0" borderId="33" xfId="0" applyNumberFormat="1" applyFont="1" applyFill="1" applyBorder="1" applyAlignment="1">
      <alignment horizontal="right" vertical="center" wrapText="1"/>
    </xf>
    <xf numFmtId="0" fontId="26" fillId="0" borderId="0" xfId="79" applyNumberFormat="1" applyFont="1" applyBorder="1" applyAlignment="1">
      <alignment vertical="center"/>
    </xf>
    <xf numFmtId="0" fontId="55"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right" vertical="center" wrapText="1"/>
    </xf>
    <xf numFmtId="3" fontId="3" fillId="0" borderId="0" xfId="56" applyNumberFormat="1" applyFont="1" applyBorder="1" applyAlignment="1">
      <alignment vertical="center"/>
    </xf>
    <xf numFmtId="3" fontId="33" fillId="0" borderId="0" xfId="56" applyNumberFormat="1" applyFont="1" applyBorder="1" applyAlignment="1">
      <alignment vertical="center"/>
    </xf>
    <xf numFmtId="3" fontId="74" fillId="0" borderId="0" xfId="56" applyNumberFormat="1" applyFont="1" applyFill="1" applyBorder="1" applyAlignment="1">
      <alignment vertical="center" wrapText="1"/>
    </xf>
    <xf numFmtId="3" fontId="15" fillId="0" borderId="0" xfId="79" applyNumberFormat="1" applyFont="1" applyFill="1" applyBorder="1" applyAlignment="1">
      <alignment vertical="center"/>
    </xf>
    <xf numFmtId="173" fontId="15" fillId="0" borderId="12" xfId="56" applyNumberFormat="1" applyFont="1" applyBorder="1" applyAlignment="1">
      <alignment vertical="center"/>
    </xf>
    <xf numFmtId="3" fontId="5" fillId="0" borderId="0" xfId="0" applyNumberFormat="1" applyFont="1" applyFill="1" applyBorder="1" applyAlignment="1">
      <alignment horizontal="center" vertical="center" wrapText="1"/>
    </xf>
    <xf numFmtId="3" fontId="30" fillId="0" borderId="12" xfId="0" applyNumberFormat="1" applyFont="1" applyFill="1" applyBorder="1" applyAlignment="1">
      <alignment horizontal="right" vertical="center" wrapText="1"/>
    </xf>
    <xf numFmtId="0" fontId="0" fillId="0" borderId="10" xfId="0" applyBorder="1" applyAlignment="1">
      <alignment vertical="center"/>
    </xf>
    <xf numFmtId="0" fontId="0" fillId="0" borderId="0" xfId="0" applyBorder="1" applyAlignment="1">
      <alignment horizontal="right" vertical="center" wrapText="1"/>
    </xf>
    <xf numFmtId="0" fontId="0" fillId="0" borderId="0" xfId="0" applyBorder="1" applyAlignment="1">
      <alignment vertical="center"/>
    </xf>
    <xf numFmtId="3" fontId="30" fillId="0" borderId="46" xfId="0" applyNumberFormat="1" applyFont="1" applyFill="1" applyBorder="1" applyAlignment="1">
      <alignment horizontal="right" vertical="center" wrapText="1"/>
    </xf>
    <xf numFmtId="3" fontId="30" fillId="0" borderId="15" xfId="0" applyNumberFormat="1" applyFont="1" applyFill="1" applyBorder="1" applyAlignment="1">
      <alignment horizontal="right" vertical="center" wrapText="1"/>
    </xf>
    <xf numFmtId="0" fontId="26" fillId="0" borderId="47" xfId="0" applyFont="1" applyFill="1" applyBorder="1" applyAlignment="1">
      <alignment vertical="center"/>
    </xf>
    <xf numFmtId="0" fontId="26" fillId="0" borderId="47" xfId="0" applyNumberFormat="1" applyFont="1" applyBorder="1" applyAlignment="1">
      <alignment/>
    </xf>
    <xf numFmtId="3" fontId="27" fillId="35" borderId="12" xfId="0" applyNumberFormat="1" applyFont="1" applyFill="1" applyBorder="1" applyAlignment="1">
      <alignment vertical="center" wrapText="1"/>
    </xf>
    <xf numFmtId="173" fontId="16" fillId="0" borderId="12" xfId="56" applyNumberFormat="1" applyFont="1" applyFill="1" applyBorder="1" applyAlignment="1">
      <alignment vertical="center" wrapText="1"/>
    </xf>
    <xf numFmtId="173" fontId="15" fillId="0" borderId="12" xfId="56" applyNumberFormat="1" applyFont="1" applyFill="1" applyBorder="1" applyAlignment="1">
      <alignment vertical="center" wrapText="1"/>
    </xf>
    <xf numFmtId="0" fontId="17" fillId="0" borderId="12" xfId="0" applyFont="1" applyFill="1" applyBorder="1" applyAlignment="1">
      <alignment horizontal="right" vertical="center" wrapText="1"/>
    </xf>
    <xf numFmtId="0" fontId="15" fillId="0" borderId="0" xfId="65" applyFont="1" applyAlignment="1">
      <alignment vertical="center"/>
      <protection/>
    </xf>
    <xf numFmtId="0" fontId="33" fillId="0" borderId="0" xfId="0" applyFont="1" applyAlignment="1">
      <alignment horizontal="right" vertical="center"/>
    </xf>
    <xf numFmtId="167" fontId="15" fillId="0" borderId="10" xfId="0" applyNumberFormat="1" applyFont="1" applyBorder="1" applyAlignment="1">
      <alignment vertical="center"/>
    </xf>
    <xf numFmtId="0" fontId="52" fillId="0" borderId="12" xfId="0" applyFont="1" applyFill="1" applyBorder="1" applyAlignment="1">
      <alignment horizontal="right" vertical="center" wrapText="1"/>
    </xf>
    <xf numFmtId="0" fontId="32" fillId="0" borderId="12" xfId="0" applyFont="1" applyFill="1" applyBorder="1" applyAlignment="1">
      <alignment horizontal="right" vertical="center" wrapText="1"/>
    </xf>
    <xf numFmtId="3" fontId="31" fillId="0" borderId="15" xfId="0" applyNumberFormat="1" applyFont="1" applyBorder="1" applyAlignment="1">
      <alignment vertical="center"/>
    </xf>
    <xf numFmtId="0" fontId="36" fillId="0" borderId="10" xfId="0" applyFont="1" applyFill="1" applyBorder="1" applyAlignment="1">
      <alignment horizontal="left" vertical="center" wrapText="1"/>
    </xf>
    <xf numFmtId="0" fontId="5" fillId="0" borderId="10" xfId="0" applyFont="1" applyFill="1" applyBorder="1" applyAlignment="1">
      <alignment horizontal="right" wrapText="1"/>
    </xf>
    <xf numFmtId="0" fontId="26" fillId="0" borderId="10" xfId="0" applyFont="1" applyFill="1" applyBorder="1" applyAlignment="1">
      <alignment horizontal="right" wrapText="1"/>
    </xf>
    <xf numFmtId="0" fontId="26" fillId="0" borderId="10" xfId="0" applyFont="1" applyFill="1" applyBorder="1" applyAlignment="1">
      <alignment horizontal="left" wrapText="1"/>
    </xf>
    <xf numFmtId="0" fontId="31" fillId="0" borderId="10" xfId="0" applyNumberFormat="1" applyFont="1" applyFill="1" applyBorder="1" applyAlignment="1">
      <alignment vertical="center" wrapText="1"/>
    </xf>
    <xf numFmtId="3" fontId="26" fillId="0" borderId="10" xfId="79" applyNumberFormat="1" applyFont="1" applyFill="1" applyBorder="1" applyAlignment="1">
      <alignment vertical="center"/>
    </xf>
    <xf numFmtId="3" fontId="5" fillId="0" borderId="10" xfId="0" applyNumberFormat="1" applyFont="1" applyFill="1" applyBorder="1" applyAlignment="1">
      <alignment vertical="center" wrapText="1"/>
    </xf>
    <xf numFmtId="3" fontId="26" fillId="0" borderId="10" xfId="0" applyNumberFormat="1" applyFont="1" applyBorder="1" applyAlignment="1">
      <alignment vertical="center"/>
    </xf>
    <xf numFmtId="3" fontId="15" fillId="0" borderId="15" xfId="56" applyNumberFormat="1" applyFont="1" applyFill="1" applyBorder="1" applyAlignment="1">
      <alignment vertical="center" wrapText="1"/>
    </xf>
    <xf numFmtId="3" fontId="15" fillId="0" borderId="10" xfId="56" applyNumberFormat="1" applyFont="1" applyFill="1" applyBorder="1" applyAlignment="1">
      <alignment vertical="center" wrapText="1"/>
    </xf>
    <xf numFmtId="3" fontId="33" fillId="0" borderId="10" xfId="56" applyNumberFormat="1" applyFont="1" applyFill="1" applyBorder="1" applyAlignment="1">
      <alignment vertical="center" wrapText="1"/>
    </xf>
    <xf numFmtId="3" fontId="3" fillId="0" borderId="33" xfId="56" applyNumberFormat="1" applyFont="1" applyFill="1" applyBorder="1" applyAlignment="1">
      <alignment vertical="center" wrapText="1"/>
    </xf>
    <xf numFmtId="0" fontId="5" fillId="0" borderId="10" xfId="0" applyFont="1" applyFill="1" applyBorder="1" applyAlignment="1">
      <alignment horizontal="right" vertical="center" wrapText="1"/>
    </xf>
    <xf numFmtId="0" fontId="28" fillId="0" borderId="30" xfId="0" applyFont="1" applyFill="1" applyBorder="1" applyAlignment="1">
      <alignment horizontal="right" vertical="center" wrapText="1"/>
    </xf>
    <xf numFmtId="0" fontId="5" fillId="0" borderId="10" xfId="0" applyFont="1" applyFill="1" applyBorder="1" applyAlignment="1">
      <alignment horizontal="left" wrapText="1"/>
    </xf>
    <xf numFmtId="0" fontId="5" fillId="0" borderId="10" xfId="0" applyFont="1" applyBorder="1" applyAlignment="1">
      <alignment vertical="center" wrapText="1"/>
    </xf>
    <xf numFmtId="0" fontId="33" fillId="0" borderId="0" xfId="65" applyFont="1">
      <alignment/>
      <protection/>
    </xf>
    <xf numFmtId="3" fontId="5" fillId="0" borderId="30" xfId="0" applyNumberFormat="1" applyFont="1" applyFill="1" applyBorder="1" applyAlignment="1">
      <alignment vertical="center" wrapText="1"/>
    </xf>
    <xf numFmtId="3" fontId="29" fillId="0" borderId="30" xfId="0" applyNumberFormat="1" applyFont="1" applyFill="1" applyBorder="1" applyAlignment="1">
      <alignment vertical="center" wrapText="1"/>
    </xf>
    <xf numFmtId="3" fontId="27" fillId="0" borderId="10" xfId="0" applyNumberFormat="1" applyFont="1" applyFill="1" applyBorder="1" applyAlignment="1">
      <alignment vertical="center" wrapText="1"/>
    </xf>
    <xf numFmtId="3" fontId="41" fillId="0" borderId="10" xfId="56" applyNumberFormat="1" applyFont="1" applyFill="1" applyBorder="1" applyAlignment="1">
      <alignment vertical="center" wrapText="1"/>
    </xf>
    <xf numFmtId="3" fontId="33" fillId="0" borderId="10" xfId="56" applyNumberFormat="1" applyFont="1" applyBorder="1" applyAlignment="1">
      <alignment vertical="center"/>
    </xf>
    <xf numFmtId="3" fontId="33" fillId="0" borderId="12" xfId="56" applyNumberFormat="1" applyFont="1" applyBorder="1" applyAlignment="1">
      <alignment vertical="center"/>
    </xf>
    <xf numFmtId="3" fontId="27" fillId="0" borderId="15" xfId="0" applyNumberFormat="1" applyFont="1" applyFill="1" applyBorder="1" applyAlignment="1">
      <alignment vertical="center" wrapText="1"/>
    </xf>
    <xf numFmtId="3" fontId="16" fillId="0" borderId="10" xfId="56" applyNumberFormat="1" applyFont="1" applyFill="1" applyBorder="1" applyAlignment="1">
      <alignment vertical="center" wrapText="1"/>
    </xf>
    <xf numFmtId="3" fontId="16" fillId="0" borderId="13" xfId="56" applyNumberFormat="1" applyFont="1" applyFill="1" applyBorder="1" applyAlignment="1">
      <alignment vertical="center" wrapText="1"/>
    </xf>
    <xf numFmtId="3" fontId="27" fillId="0" borderId="13" xfId="0" applyNumberFormat="1" applyFont="1" applyFill="1" applyBorder="1" applyAlignment="1">
      <alignment vertical="center" wrapText="1"/>
    </xf>
    <xf numFmtId="3" fontId="16" fillId="0" borderId="48" xfId="0" applyNumberFormat="1" applyFont="1" applyFill="1" applyBorder="1" applyAlignment="1">
      <alignment vertical="center" wrapText="1"/>
    </xf>
    <xf numFmtId="3" fontId="27" fillId="0" borderId="48" xfId="0" applyNumberFormat="1" applyFont="1" applyFill="1" applyBorder="1" applyAlignment="1">
      <alignment vertical="center" wrapText="1"/>
    </xf>
    <xf numFmtId="3" fontId="15" fillId="0" borderId="48" xfId="79" applyNumberFormat="1" applyFont="1" applyFill="1" applyBorder="1" applyAlignment="1">
      <alignment vertical="center"/>
    </xf>
    <xf numFmtId="3" fontId="15" fillId="0" borderId="47" xfId="79" applyNumberFormat="1" applyFont="1" applyFill="1" applyBorder="1" applyAlignment="1">
      <alignment vertical="center"/>
    </xf>
    <xf numFmtId="3" fontId="41" fillId="0" borderId="15" xfId="0" applyNumberFormat="1" applyFont="1" applyFill="1" applyBorder="1" applyAlignment="1">
      <alignment vertical="center" wrapText="1"/>
    </xf>
    <xf numFmtId="3" fontId="41" fillId="0" borderId="15" xfId="56" applyNumberFormat="1" applyFont="1" applyFill="1" applyBorder="1" applyAlignment="1">
      <alignment vertical="center" wrapText="1"/>
    </xf>
    <xf numFmtId="3" fontId="33" fillId="0" borderId="15" xfId="56" applyNumberFormat="1" applyFont="1" applyBorder="1" applyAlignment="1">
      <alignment vertical="center"/>
    </xf>
    <xf numFmtId="3" fontId="33" fillId="0" borderId="46" xfId="56" applyNumberFormat="1" applyFont="1" applyBorder="1" applyAlignment="1">
      <alignment vertical="center"/>
    </xf>
    <xf numFmtId="3" fontId="16" fillId="0" borderId="15" xfId="56" applyNumberFormat="1" applyFont="1" applyFill="1" applyBorder="1" applyAlignment="1">
      <alignment vertical="center" wrapText="1"/>
    </xf>
    <xf numFmtId="3" fontId="16" fillId="0" borderId="15" xfId="0" applyNumberFormat="1" applyFont="1" applyFill="1" applyBorder="1" applyAlignment="1">
      <alignment vertical="center" wrapText="1"/>
    </xf>
    <xf numFmtId="3" fontId="15" fillId="0" borderId="15" xfId="79" applyNumberFormat="1" applyFont="1" applyFill="1" applyBorder="1" applyAlignment="1">
      <alignment vertical="center"/>
    </xf>
    <xf numFmtId="3" fontId="15" fillId="0" borderId="46" xfId="79" applyNumberFormat="1" applyFont="1" applyFill="1" applyBorder="1" applyAlignment="1">
      <alignment vertical="center"/>
    </xf>
    <xf numFmtId="0" fontId="5" fillId="0" borderId="12" xfId="0" applyFont="1" applyFill="1" applyBorder="1" applyAlignment="1">
      <alignment wrapText="1"/>
    </xf>
    <xf numFmtId="173" fontId="15" fillId="0" borderId="15" xfId="56" applyNumberFormat="1" applyFont="1" applyFill="1" applyBorder="1" applyAlignment="1">
      <alignment vertical="center" wrapText="1"/>
    </xf>
    <xf numFmtId="173" fontId="15" fillId="0" borderId="46" xfId="56" applyNumberFormat="1" applyFont="1" applyFill="1" applyBorder="1" applyAlignment="1">
      <alignment vertical="center" wrapText="1"/>
    </xf>
    <xf numFmtId="3" fontId="26" fillId="0" borderId="15" xfId="0" applyNumberFormat="1" applyFont="1" applyBorder="1" applyAlignment="1">
      <alignment/>
    </xf>
    <xf numFmtId="3" fontId="26" fillId="0" borderId="15" xfId="0" applyNumberFormat="1" applyFont="1" applyFill="1" applyBorder="1" applyAlignment="1">
      <alignment horizontal="right" vertical="center" wrapText="1"/>
    </xf>
    <xf numFmtId="3" fontId="26" fillId="0" borderId="10" xfId="0" applyNumberFormat="1" applyFont="1" applyFill="1" applyBorder="1" applyAlignment="1">
      <alignment horizontal="right" vertical="center" wrapText="1"/>
    </xf>
    <xf numFmtId="3" fontId="26" fillId="0" borderId="13" xfId="0" applyNumberFormat="1" applyFont="1" applyFill="1" applyBorder="1" applyAlignment="1">
      <alignment horizontal="right" vertical="center" wrapText="1"/>
    </xf>
    <xf numFmtId="3" fontId="26" fillId="35" borderId="10" xfId="79" applyNumberFormat="1" applyFont="1" applyFill="1" applyBorder="1" applyAlignment="1">
      <alignment vertical="center"/>
    </xf>
    <xf numFmtId="173" fontId="15" fillId="0" borderId="10" xfId="56" applyNumberFormat="1" applyFont="1" applyBorder="1" applyAlignment="1">
      <alignment vertical="center"/>
    </xf>
    <xf numFmtId="3" fontId="15" fillId="0" borderId="10" xfId="56" applyNumberFormat="1" applyFont="1" applyBorder="1" applyAlignment="1">
      <alignment vertical="center"/>
    </xf>
    <xf numFmtId="173" fontId="16" fillId="0" borderId="10" xfId="56" applyNumberFormat="1" applyFont="1" applyFill="1" applyBorder="1" applyAlignment="1">
      <alignment vertical="center" wrapText="1"/>
    </xf>
    <xf numFmtId="3" fontId="26" fillId="0" borderId="15" xfId="0" applyNumberFormat="1" applyFont="1" applyBorder="1" applyAlignment="1">
      <alignment vertical="center"/>
    </xf>
    <xf numFmtId="3" fontId="26" fillId="0" borderId="15" xfId="79" applyNumberFormat="1" applyFont="1" applyFill="1" applyBorder="1" applyAlignment="1">
      <alignment vertical="center"/>
    </xf>
    <xf numFmtId="3" fontId="33" fillId="0" borderId="15" xfId="56" applyNumberFormat="1" applyFont="1" applyBorder="1" applyAlignment="1">
      <alignment vertical="center"/>
    </xf>
    <xf numFmtId="173" fontId="15" fillId="0" borderId="15" xfId="56" applyNumberFormat="1" applyFont="1" applyBorder="1" applyAlignment="1">
      <alignment vertical="center"/>
    </xf>
    <xf numFmtId="3" fontId="5" fillId="0" borderId="33" xfId="0" applyNumberFormat="1" applyFont="1" applyBorder="1" applyAlignment="1">
      <alignment vertical="center"/>
    </xf>
    <xf numFmtId="3" fontId="5" fillId="0" borderId="33" xfId="79" applyNumberFormat="1" applyFont="1" applyFill="1" applyBorder="1" applyAlignment="1">
      <alignment vertical="center"/>
    </xf>
    <xf numFmtId="3" fontId="5" fillId="0" borderId="33" xfId="79" applyNumberFormat="1" applyFont="1" applyFill="1" applyBorder="1" applyAlignment="1">
      <alignment vertical="center"/>
    </xf>
    <xf numFmtId="3" fontId="16" fillId="0" borderId="15" xfId="56" applyNumberFormat="1" applyFont="1" applyFill="1" applyBorder="1" applyAlignment="1">
      <alignment vertical="center" wrapText="1"/>
    </xf>
    <xf numFmtId="3" fontId="15" fillId="0" borderId="15" xfId="56" applyNumberFormat="1" applyFont="1" applyBorder="1" applyAlignment="1">
      <alignment vertical="center"/>
    </xf>
    <xf numFmtId="3" fontId="5" fillId="0" borderId="37" xfId="0" applyNumberFormat="1" applyFont="1" applyBorder="1" applyAlignment="1">
      <alignment vertical="center"/>
    </xf>
    <xf numFmtId="3" fontId="74" fillId="0" borderId="37" xfId="56" applyNumberFormat="1" applyFont="1" applyFill="1" applyBorder="1" applyAlignment="1">
      <alignment vertical="center" wrapText="1"/>
    </xf>
    <xf numFmtId="3" fontId="5" fillId="0" borderId="37" xfId="79" applyNumberFormat="1" applyFont="1" applyFill="1" applyBorder="1" applyAlignment="1">
      <alignment vertical="center"/>
    </xf>
    <xf numFmtId="3" fontId="5" fillId="0" borderId="37" xfId="79" applyNumberFormat="1" applyFont="1" applyFill="1" applyBorder="1" applyAlignment="1">
      <alignment vertical="center"/>
    </xf>
    <xf numFmtId="3" fontId="18" fillId="0" borderId="37" xfId="56" applyNumberFormat="1" applyFont="1" applyFill="1" applyBorder="1" applyAlignment="1">
      <alignment vertical="center" wrapText="1"/>
    </xf>
    <xf numFmtId="3" fontId="26" fillId="0" borderId="15" xfId="0" applyNumberFormat="1" applyFont="1" applyBorder="1" applyAlignment="1">
      <alignment vertical="center"/>
    </xf>
    <xf numFmtId="3" fontId="26" fillId="0" borderId="15" xfId="79" applyNumberFormat="1" applyFont="1" applyFill="1" applyBorder="1" applyAlignment="1">
      <alignment vertical="center"/>
    </xf>
    <xf numFmtId="3" fontId="5" fillId="0" borderId="33" xfId="0" applyNumberFormat="1" applyFont="1" applyBorder="1" applyAlignment="1">
      <alignment vertical="center"/>
    </xf>
    <xf numFmtId="3" fontId="18" fillId="0" borderId="33" xfId="56" applyNumberFormat="1" applyFont="1" applyFill="1" applyBorder="1" applyAlignment="1">
      <alignment vertical="center" wrapText="1"/>
    </xf>
    <xf numFmtId="173" fontId="15" fillId="0" borderId="15" xfId="56" applyNumberFormat="1" applyFont="1" applyBorder="1" applyAlignment="1">
      <alignment vertical="center"/>
    </xf>
    <xf numFmtId="3" fontId="5" fillId="0" borderId="35" xfId="0" applyNumberFormat="1" applyFont="1" applyBorder="1" applyAlignment="1">
      <alignment vertical="center"/>
    </xf>
    <xf numFmtId="3" fontId="5" fillId="0" borderId="33" xfId="0" applyNumberFormat="1" applyFont="1" applyFill="1" applyBorder="1" applyAlignment="1">
      <alignment vertical="center" wrapText="1"/>
    </xf>
    <xf numFmtId="3" fontId="5" fillId="0" borderId="35" xfId="79" applyNumberFormat="1" applyFont="1" applyFill="1" applyBorder="1" applyAlignment="1">
      <alignment vertical="center"/>
    </xf>
    <xf numFmtId="0" fontId="144" fillId="0" borderId="10" xfId="0" applyFont="1" applyFill="1" applyBorder="1" applyAlignment="1">
      <alignment horizontal="right" vertical="center" wrapText="1"/>
    </xf>
    <xf numFmtId="0" fontId="145" fillId="0" borderId="10" xfId="0" applyFont="1" applyFill="1" applyBorder="1" applyAlignment="1">
      <alignment horizontal="right" vertical="center" wrapText="1"/>
    </xf>
    <xf numFmtId="0" fontId="33" fillId="0" borderId="10" xfId="0" applyFont="1" applyBorder="1" applyAlignment="1">
      <alignment/>
    </xf>
    <xf numFmtId="173" fontId="29" fillId="0" borderId="33" xfId="56" applyNumberFormat="1" applyFont="1" applyFill="1" applyBorder="1" applyAlignment="1">
      <alignment vertical="center" wrapText="1"/>
    </xf>
    <xf numFmtId="173" fontId="26" fillId="0" borderId="15" xfId="56" applyNumberFormat="1" applyFont="1" applyFill="1" applyBorder="1" applyAlignment="1">
      <alignment vertical="center" wrapText="1"/>
    </xf>
    <xf numFmtId="0" fontId="0" fillId="0" borderId="0" xfId="0" applyBorder="1" applyAlignment="1">
      <alignment vertical="center" wrapText="1"/>
    </xf>
    <xf numFmtId="0" fontId="5" fillId="0" borderId="10" xfId="0" applyNumberFormat="1" applyFont="1" applyFill="1" applyBorder="1" applyAlignment="1">
      <alignment vertical="center" wrapText="1"/>
    </xf>
    <xf numFmtId="0" fontId="67" fillId="0" borderId="10" xfId="0" applyNumberFormat="1" applyFont="1" applyFill="1" applyBorder="1" applyAlignment="1">
      <alignment horizontal="right" vertical="center" wrapText="1"/>
    </xf>
    <xf numFmtId="9" fontId="26" fillId="0" borderId="11" xfId="79" applyFont="1" applyFill="1" applyBorder="1" applyAlignment="1">
      <alignment horizontal="right" vertical="center"/>
    </xf>
    <xf numFmtId="9" fontId="26" fillId="0" borderId="10" xfId="79" applyFont="1" applyFill="1" applyBorder="1" applyAlignment="1">
      <alignment horizontal="right" vertical="center"/>
    </xf>
    <xf numFmtId="9" fontId="67" fillId="0" borderId="11" xfId="79" applyFont="1" applyFill="1" applyBorder="1" applyAlignment="1">
      <alignment horizontal="right" vertical="center"/>
    </xf>
    <xf numFmtId="173" fontId="29" fillId="0" borderId="0" xfId="56" applyNumberFormat="1" applyFont="1" applyFill="1" applyBorder="1" applyAlignment="1">
      <alignment horizontal="left" vertical="center" wrapText="1"/>
    </xf>
    <xf numFmtId="173" fontId="18" fillId="0" borderId="10" xfId="56" applyNumberFormat="1" applyFont="1" applyFill="1" applyBorder="1" applyAlignment="1">
      <alignment horizontal="right" vertical="center" wrapText="1"/>
    </xf>
    <xf numFmtId="173" fontId="17" fillId="0" borderId="10" xfId="56" applyNumberFormat="1" applyFont="1" applyFill="1" applyBorder="1" applyAlignment="1">
      <alignment horizontal="right" vertical="center" wrapText="1"/>
    </xf>
    <xf numFmtId="10" fontId="5" fillId="0" borderId="46" xfId="0" applyNumberFormat="1" applyFont="1" applyFill="1" applyBorder="1" applyAlignment="1">
      <alignment vertical="center"/>
    </xf>
    <xf numFmtId="10" fontId="5" fillId="0" borderId="0" xfId="0" applyNumberFormat="1" applyFont="1" applyFill="1" applyBorder="1" applyAlignment="1">
      <alignment vertical="center"/>
    </xf>
    <xf numFmtId="10" fontId="5" fillId="0" borderId="47" xfId="0" applyNumberFormat="1" applyFont="1" applyFill="1" applyBorder="1" applyAlignment="1">
      <alignment vertical="center"/>
    </xf>
    <xf numFmtId="10" fontId="28" fillId="0" borderId="10" xfId="56" applyNumberFormat="1" applyFont="1" applyFill="1" applyBorder="1" applyAlignment="1">
      <alignment vertical="center" wrapText="1"/>
    </xf>
    <xf numFmtId="164" fontId="67" fillId="0" borderId="10" xfId="79" applyNumberFormat="1" applyFont="1" applyBorder="1" applyAlignment="1">
      <alignment horizontal="right" vertical="center"/>
    </xf>
    <xf numFmtId="164" fontId="26" fillId="0" borderId="48" xfId="79" applyNumberFormat="1" applyFont="1" applyBorder="1" applyAlignment="1">
      <alignment vertical="center"/>
    </xf>
    <xf numFmtId="0" fontId="26" fillId="0" borderId="0" xfId="65" applyFont="1" applyAlignment="1">
      <alignment vertical="center"/>
      <protection/>
    </xf>
    <xf numFmtId="0" fontId="26" fillId="0" borderId="10" xfId="0" applyNumberFormat="1" applyFont="1" applyFill="1" applyBorder="1" applyAlignment="1">
      <alignment horizontal="right" vertical="center" wrapText="1"/>
    </xf>
    <xf numFmtId="10" fontId="26" fillId="0" borderId="10" xfId="79" applyNumberFormat="1" applyFont="1" applyFill="1" applyBorder="1" applyAlignment="1">
      <alignment horizontal="center" vertical="center"/>
    </xf>
    <xf numFmtId="10" fontId="5" fillId="0" borderId="10" xfId="79" applyNumberFormat="1" applyFont="1" applyFill="1" applyBorder="1" applyAlignment="1">
      <alignment horizontal="center" vertical="center"/>
    </xf>
    <xf numFmtId="2" fontId="26" fillId="0" borderId="10" xfId="79" applyNumberFormat="1" applyFont="1" applyFill="1" applyBorder="1" applyAlignment="1">
      <alignment horizontal="center" vertical="center"/>
    </xf>
    <xf numFmtId="10" fontId="26" fillId="0" borderId="15" xfId="79" applyNumberFormat="1" applyFont="1" applyFill="1" applyBorder="1" applyAlignment="1">
      <alignment horizontal="center" vertical="center"/>
    </xf>
    <xf numFmtId="2" fontId="26" fillId="0" borderId="15" xfId="79" applyNumberFormat="1" applyFont="1" applyFill="1" applyBorder="1" applyAlignment="1">
      <alignment horizontal="center" vertical="center"/>
    </xf>
    <xf numFmtId="10" fontId="5" fillId="0" borderId="33" xfId="79" applyNumberFormat="1" applyFont="1" applyFill="1" applyBorder="1" applyAlignment="1">
      <alignment horizontal="center" vertical="center"/>
    </xf>
    <xf numFmtId="2" fontId="5" fillId="0" borderId="33" xfId="79" applyNumberFormat="1" applyFont="1" applyFill="1" applyBorder="1" applyAlignment="1">
      <alignment horizontal="center" vertical="center"/>
    </xf>
    <xf numFmtId="10" fontId="5" fillId="0" borderId="37" xfId="79" applyNumberFormat="1" applyFont="1" applyFill="1" applyBorder="1" applyAlignment="1">
      <alignment horizontal="center" vertical="center"/>
    </xf>
    <xf numFmtId="2" fontId="5" fillId="0" borderId="10" xfId="79" applyNumberFormat="1" applyFont="1" applyFill="1" applyBorder="1" applyAlignment="1">
      <alignment horizontal="center" vertical="center"/>
    </xf>
    <xf numFmtId="0" fontId="5" fillId="0" borderId="10" xfId="0" applyFont="1" applyFill="1" applyBorder="1" applyAlignment="1">
      <alignment vertical="center" wrapText="1"/>
    </xf>
    <xf numFmtId="10" fontId="26" fillId="0" borderId="15" xfId="79" applyNumberFormat="1" applyFont="1" applyFill="1" applyBorder="1" applyAlignment="1">
      <alignment horizontal="center" vertical="center"/>
    </xf>
    <xf numFmtId="10" fontId="5" fillId="0" borderId="33" xfId="79" applyNumberFormat="1" applyFont="1" applyFill="1" applyBorder="1" applyAlignment="1">
      <alignment horizontal="center" vertical="center"/>
    </xf>
    <xf numFmtId="2" fontId="5" fillId="0" borderId="33" xfId="79" applyNumberFormat="1" applyFont="1" applyFill="1" applyBorder="1" applyAlignment="1">
      <alignment horizontal="center" vertical="center"/>
    </xf>
    <xf numFmtId="10" fontId="5" fillId="0" borderId="37" xfId="79" applyNumberFormat="1" applyFont="1" applyFill="1" applyBorder="1" applyAlignment="1">
      <alignment horizontal="center" vertical="center"/>
    </xf>
    <xf numFmtId="2" fontId="5" fillId="0" borderId="37" xfId="79" applyNumberFormat="1" applyFont="1" applyFill="1" applyBorder="1" applyAlignment="1">
      <alignment horizontal="center" vertical="center"/>
    </xf>
    <xf numFmtId="10" fontId="5" fillId="0" borderId="15" xfId="79" applyNumberFormat="1" applyFont="1" applyFill="1" applyBorder="1" applyAlignment="1">
      <alignment horizontal="center" vertical="center"/>
    </xf>
    <xf numFmtId="2" fontId="5" fillId="0" borderId="15" xfId="79" applyNumberFormat="1" applyFont="1" applyFill="1" applyBorder="1" applyAlignment="1">
      <alignment horizontal="center" vertical="center"/>
    </xf>
    <xf numFmtId="3" fontId="16" fillId="0" borderId="12" xfId="56" applyNumberFormat="1" applyFont="1" applyFill="1" applyBorder="1" applyAlignment="1">
      <alignment vertical="center" wrapText="1"/>
    </xf>
    <xf numFmtId="3" fontId="26" fillId="0" borderId="10" xfId="0" applyNumberFormat="1" applyFont="1" applyBorder="1" applyAlignment="1">
      <alignment/>
    </xf>
    <xf numFmtId="0" fontId="143" fillId="0" borderId="10" xfId="0" applyFont="1" applyFill="1" applyBorder="1" applyAlignment="1">
      <alignment horizontal="right" wrapText="1"/>
    </xf>
    <xf numFmtId="173" fontId="15" fillId="0" borderId="10" xfId="56" applyNumberFormat="1" applyFont="1" applyFill="1" applyBorder="1" applyAlignment="1">
      <alignment vertical="center"/>
    </xf>
    <xf numFmtId="164" fontId="27" fillId="0" borderId="10" xfId="79" applyNumberFormat="1" applyFont="1" applyFill="1" applyBorder="1" applyAlignment="1">
      <alignment horizontal="right" vertical="center" wrapText="1"/>
    </xf>
    <xf numFmtId="2" fontId="27" fillId="0" borderId="10" xfId="0" applyNumberFormat="1" applyFont="1" applyFill="1" applyBorder="1" applyAlignment="1">
      <alignment horizontal="right" vertical="center" wrapText="1"/>
    </xf>
    <xf numFmtId="164" fontId="27" fillId="0" borderId="10" xfId="79" applyNumberFormat="1" applyFont="1" applyFill="1" applyBorder="1" applyAlignment="1">
      <alignment horizontal="right" vertical="center" wrapText="1"/>
    </xf>
    <xf numFmtId="2" fontId="27" fillId="0" borderId="10" xfId="0" applyNumberFormat="1" applyFont="1" applyFill="1" applyBorder="1" applyAlignment="1">
      <alignment horizontal="right" vertical="center" wrapText="1"/>
    </xf>
    <xf numFmtId="0" fontId="5" fillId="0" borderId="10" xfId="0" applyFont="1" applyFill="1" applyBorder="1" applyAlignment="1">
      <alignment wrapText="1"/>
    </xf>
    <xf numFmtId="164" fontId="26" fillId="0" borderId="10" xfId="79" applyNumberFormat="1" applyFont="1" applyFill="1" applyBorder="1" applyAlignment="1">
      <alignment vertical="center" wrapText="1"/>
    </xf>
    <xf numFmtId="2" fontId="26" fillId="0" borderId="10" xfId="0" applyNumberFormat="1" applyFont="1" applyFill="1" applyBorder="1" applyAlignment="1">
      <alignment vertical="center" wrapText="1"/>
    </xf>
    <xf numFmtId="0" fontId="144" fillId="0" borderId="12" xfId="0" applyFont="1" applyFill="1" applyBorder="1" applyAlignment="1">
      <alignment horizontal="right" vertical="center" wrapText="1"/>
    </xf>
    <xf numFmtId="3" fontId="15" fillId="0" borderId="17" xfId="65" applyNumberFormat="1" applyFont="1" applyBorder="1" applyAlignment="1">
      <alignment horizontal="center" vertical="center"/>
      <protection/>
    </xf>
    <xf numFmtId="3" fontId="15" fillId="0" borderId="17" xfId="0" applyNumberFormat="1" applyFont="1" applyBorder="1" applyAlignment="1">
      <alignment horizontal="center" vertical="center"/>
    </xf>
    <xf numFmtId="0" fontId="28" fillId="0" borderId="48" xfId="0" applyFont="1" applyFill="1" applyBorder="1" applyAlignment="1">
      <alignment horizontal="right" vertical="center" wrapText="1"/>
    </xf>
    <xf numFmtId="173" fontId="31" fillId="0" borderId="30" xfId="0" applyNumberFormat="1" applyFont="1" applyBorder="1" applyAlignment="1">
      <alignment vertical="center"/>
    </xf>
    <xf numFmtId="173" fontId="31" fillId="0" borderId="31" xfId="0" applyNumberFormat="1" applyFont="1" applyBorder="1" applyAlignment="1">
      <alignment vertical="center"/>
    </xf>
    <xf numFmtId="0" fontId="28" fillId="0" borderId="31" xfId="0" applyFont="1" applyFill="1" applyBorder="1" applyAlignment="1">
      <alignment horizontal="right" vertical="center" wrapText="1"/>
    </xf>
    <xf numFmtId="164" fontId="5" fillId="0" borderId="31" xfId="79" applyNumberFormat="1" applyFont="1" applyBorder="1" applyAlignment="1">
      <alignment vertical="center"/>
    </xf>
    <xf numFmtId="0" fontId="54" fillId="0" borderId="30" xfId="0" applyFont="1" applyFill="1" applyBorder="1" applyAlignment="1">
      <alignment horizontal="right" vertical="center" wrapText="1"/>
    </xf>
    <xf numFmtId="173" fontId="17" fillId="0" borderId="30" xfId="56" applyNumberFormat="1" applyFont="1" applyFill="1" applyBorder="1" applyAlignment="1">
      <alignment vertical="center" wrapText="1"/>
    </xf>
    <xf numFmtId="164" fontId="26" fillId="0" borderId="30" xfId="79" applyNumberFormat="1" applyFont="1" applyBorder="1" applyAlignment="1">
      <alignment vertical="center"/>
    </xf>
    <xf numFmtId="164" fontId="26" fillId="0" borderId="30" xfId="79" applyNumberFormat="1" applyFont="1" applyBorder="1" applyAlignment="1">
      <alignment horizontal="right" vertical="center"/>
    </xf>
    <xf numFmtId="173" fontId="16" fillId="0" borderId="30" xfId="56" applyNumberFormat="1" applyFont="1" applyFill="1" applyBorder="1" applyAlignment="1">
      <alignment vertical="center" wrapText="1"/>
    </xf>
    <xf numFmtId="0" fontId="28" fillId="0" borderId="49" xfId="0" applyFont="1" applyFill="1" applyBorder="1" applyAlignment="1">
      <alignment horizontal="right" vertical="center" wrapText="1"/>
    </xf>
    <xf numFmtId="173" fontId="29" fillId="0" borderId="49" xfId="56" applyNumberFormat="1" applyFont="1" applyFill="1" applyBorder="1" applyAlignment="1">
      <alignment vertical="center" wrapText="1"/>
    </xf>
    <xf numFmtId="164" fontId="5" fillId="0" borderId="49" xfId="79" applyNumberFormat="1" applyFont="1" applyBorder="1" applyAlignment="1">
      <alignment vertical="center"/>
    </xf>
    <xf numFmtId="173" fontId="28" fillId="0" borderId="15" xfId="56" applyNumberFormat="1" applyFont="1" applyFill="1" applyBorder="1" applyAlignment="1">
      <alignment vertical="center" wrapText="1"/>
    </xf>
    <xf numFmtId="173" fontId="31" fillId="0" borderId="15" xfId="0" applyNumberFormat="1" applyFont="1" applyBorder="1" applyAlignment="1">
      <alignment vertical="center"/>
    </xf>
    <xf numFmtId="0" fontId="26" fillId="0" borderId="0" xfId="0" applyFont="1" applyAlignment="1">
      <alignment/>
    </xf>
    <xf numFmtId="0" fontId="0" fillId="0" borderId="0" xfId="0" applyFont="1" applyAlignment="1">
      <alignment/>
    </xf>
    <xf numFmtId="0" fontId="1" fillId="33" borderId="0" xfId="66" applyFont="1" applyFill="1" applyAlignment="1">
      <alignment horizontal="left" vertical="center" wrapText="1"/>
      <protection/>
    </xf>
    <xf numFmtId="0" fontId="75" fillId="0" borderId="0" xfId="66" applyFont="1" applyAlignment="1">
      <alignment horizontal="left" vertical="center"/>
      <protection/>
    </xf>
    <xf numFmtId="0" fontId="46" fillId="0" borderId="0" xfId="66" applyFont="1" applyAlignment="1">
      <alignment horizontal="left" vertical="center" wrapText="1"/>
      <protection/>
    </xf>
    <xf numFmtId="0" fontId="45" fillId="0" borderId="0" xfId="67" applyFont="1" applyFill="1" applyAlignment="1">
      <alignment horizontal="left" vertical="center" wrapText="1"/>
      <protection/>
    </xf>
    <xf numFmtId="0" fontId="1" fillId="0" borderId="0" xfId="66" applyFont="1" applyFill="1" applyAlignment="1">
      <alignment horizontal="left" vertical="center" wrapText="1"/>
      <protection/>
    </xf>
    <xf numFmtId="0" fontId="45" fillId="33" borderId="0" xfId="67" applyFont="1" applyFill="1" applyAlignment="1">
      <alignment horizontal="left" vertical="center" wrapText="1"/>
      <protection/>
    </xf>
    <xf numFmtId="0" fontId="45" fillId="0" borderId="0" xfId="67" applyFont="1" applyFill="1" applyAlignment="1">
      <alignment vertical="center" wrapText="1"/>
      <protection/>
    </xf>
    <xf numFmtId="0" fontId="1" fillId="0" borderId="0" xfId="66" applyFont="1" applyAlignment="1">
      <alignment horizontal="left" vertical="center"/>
      <protection/>
    </xf>
    <xf numFmtId="0" fontId="5" fillId="34"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0" xfId="0"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left" vertical="center" wrapText="1"/>
    </xf>
    <xf numFmtId="0" fontId="3" fillId="0" borderId="34" xfId="0" applyFont="1" applyBorder="1" applyAlignment="1">
      <alignment horizontal="left" vertical="center" wrapText="1"/>
    </xf>
    <xf numFmtId="0" fontId="5" fillId="34" borderId="12"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3" xfId="0" applyFont="1" applyFill="1" applyBorder="1" applyAlignment="1">
      <alignment horizontal="center" vertical="center"/>
    </xf>
    <xf numFmtId="0" fontId="27" fillId="0" borderId="23" xfId="0" applyFont="1" applyFill="1" applyBorder="1" applyAlignment="1">
      <alignment vertical="center" wrapText="1"/>
    </xf>
    <xf numFmtId="0" fontId="0" fillId="0" borderId="23" xfId="0"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5" fillId="0" borderId="5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28" fillId="0" borderId="0" xfId="0" applyFont="1" applyFill="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wrapText="1"/>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14" xfId="0" applyFont="1" applyBorder="1" applyAlignment="1">
      <alignment horizontal="left" vertical="center" wrapText="1"/>
    </xf>
    <xf numFmtId="0" fontId="30" fillId="0" borderId="15"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0" fillId="0" borderId="13" xfId="0" applyFont="1" applyFill="1" applyBorder="1" applyAlignment="1">
      <alignment horizontal="right" vertical="center" wrapText="1"/>
    </xf>
    <xf numFmtId="0" fontId="30" fillId="0" borderId="15" xfId="0" applyFont="1" applyFill="1" applyBorder="1" applyAlignment="1">
      <alignment horizontal="right" vertical="center" wrapText="1"/>
    </xf>
    <xf numFmtId="3" fontId="5" fillId="0" borderId="12" xfId="0"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26" fillId="0" borderId="0" xfId="0" applyFont="1" applyFill="1" applyBorder="1" applyAlignment="1">
      <alignment horizontal="left" wrapText="1"/>
    </xf>
    <xf numFmtId="0" fontId="0" fillId="0" borderId="0" xfId="0" applyFont="1" applyAlignment="1">
      <alignment horizontal="left"/>
    </xf>
    <xf numFmtId="3" fontId="5" fillId="0" borderId="12" xfId="0" applyNumberFormat="1" applyFont="1"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3" fontId="5" fillId="0" borderId="51"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5" fillId="0" borderId="50"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xf>
    <xf numFmtId="0" fontId="5" fillId="0" borderId="2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51"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5" fillId="0" borderId="13"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31" fillId="0" borderId="14" xfId="0" applyFont="1" applyBorder="1" applyAlignment="1">
      <alignment horizontal="center" vertical="center" wrapText="1"/>
    </xf>
    <xf numFmtId="0" fontId="31" fillId="0" borderId="12"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11" xfId="0" applyFont="1" applyFill="1" applyBorder="1" applyAlignment="1">
      <alignment horizontal="center" vertical="center"/>
    </xf>
    <xf numFmtId="0" fontId="18" fillId="0" borderId="0" xfId="0" applyFont="1" applyBorder="1" applyAlignment="1">
      <alignment horizontal="center" vertical="center" wrapText="1"/>
    </xf>
    <xf numFmtId="0" fontId="69" fillId="0" borderId="0" xfId="0" applyFont="1" applyFill="1" applyBorder="1" applyAlignment="1">
      <alignment horizontal="left" vertical="center" wrapText="1"/>
    </xf>
    <xf numFmtId="0" fontId="6"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left" vertical="center" wrapText="1"/>
    </xf>
    <xf numFmtId="0" fontId="31" fillId="0" borderId="13" xfId="0" applyFont="1" applyBorder="1" applyAlignment="1">
      <alignment horizontal="left" vertical="center" wrapText="1"/>
    </xf>
    <xf numFmtId="0" fontId="31" fillId="0" borderId="15" xfId="0" applyFont="1" applyBorder="1" applyAlignment="1">
      <alignment horizontal="left" vertical="center" wrapText="1"/>
    </xf>
    <xf numFmtId="0" fontId="3" fillId="0" borderId="13" xfId="65" applyFont="1" applyBorder="1" applyAlignment="1">
      <alignment horizontal="left" vertical="center"/>
      <protection/>
    </xf>
    <xf numFmtId="0" fontId="3" fillId="0" borderId="15" xfId="65" applyFont="1" applyBorder="1" applyAlignment="1">
      <alignment horizontal="left" vertical="center"/>
      <protection/>
    </xf>
    <xf numFmtId="0" fontId="3" fillId="0" borderId="10" xfId="65" applyFont="1" applyBorder="1" applyAlignment="1">
      <alignment horizontal="left" vertical="center" wrapText="1"/>
      <protection/>
    </xf>
    <xf numFmtId="0" fontId="3" fillId="0" borderId="13" xfId="65" applyFont="1" applyBorder="1" applyAlignment="1">
      <alignment horizontal="left" vertical="center" wrapText="1"/>
      <protection/>
    </xf>
    <xf numFmtId="0" fontId="3" fillId="0" borderId="15" xfId="65" applyFont="1" applyBorder="1" applyAlignment="1">
      <alignment horizontal="left" vertical="center" wrapText="1"/>
      <protection/>
    </xf>
    <xf numFmtId="0" fontId="3" fillId="0" borderId="48" xfId="65" applyFont="1" applyBorder="1" applyAlignment="1">
      <alignment horizontal="left" vertical="center"/>
      <protection/>
    </xf>
    <xf numFmtId="0" fontId="3" fillId="0" borderId="35" xfId="65" applyFont="1" applyBorder="1" applyAlignment="1">
      <alignment horizontal="left" vertical="center"/>
      <protection/>
    </xf>
    <xf numFmtId="0" fontId="31" fillId="0" borderId="13" xfId="0" applyFont="1" applyBorder="1" applyAlignment="1">
      <alignment horizontal="left" vertical="center"/>
    </xf>
    <xf numFmtId="0" fontId="31" fillId="0" borderId="15" xfId="0" applyFont="1" applyBorder="1" applyAlignment="1">
      <alignment horizontal="left" vertical="center"/>
    </xf>
    <xf numFmtId="0" fontId="31" fillId="0" borderId="13" xfId="0" applyFont="1" applyBorder="1" applyAlignment="1">
      <alignment horizontal="left" vertical="center"/>
    </xf>
    <xf numFmtId="0" fontId="31" fillId="0" borderId="23" xfId="0" applyFont="1" applyBorder="1" applyAlignment="1">
      <alignment horizontal="left" vertical="center" wrapText="1"/>
    </xf>
    <xf numFmtId="0" fontId="0" fillId="0" borderId="23" xfId="0" applyFont="1" applyBorder="1" applyAlignment="1">
      <alignmen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47" fillId="0" borderId="0" xfId="0" applyFont="1" applyAlignment="1">
      <alignment horizontal="left" wrapText="1"/>
    </xf>
    <xf numFmtId="0" fontId="34" fillId="0" borderId="0" xfId="0" applyFont="1" applyBorder="1" applyAlignment="1">
      <alignment horizontal="left" vertical="center" wrapText="1"/>
    </xf>
    <xf numFmtId="0" fontId="15" fillId="0" borderId="51"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6"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horizontal="left" vertical="center" wrapText="1"/>
    </xf>
    <xf numFmtId="0" fontId="35" fillId="0" borderId="13" xfId="0" applyFont="1" applyFill="1" applyBorder="1" applyAlignment="1">
      <alignment horizontal="center" vertical="center"/>
    </xf>
    <xf numFmtId="0" fontId="35" fillId="0" borderId="15" xfId="0" applyFont="1" applyFill="1" applyBorder="1" applyAlignment="1">
      <alignment horizontal="center" vertical="center"/>
    </xf>
    <xf numFmtId="0" fontId="22" fillId="0" borderId="14" xfId="0" applyFont="1" applyBorder="1" applyAlignment="1">
      <alignment horizontal="center" vertical="center" wrapText="1"/>
    </xf>
    <xf numFmtId="0" fontId="25" fillId="0" borderId="22"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36" fillId="0" borderId="52" xfId="0" applyFont="1" applyBorder="1" applyAlignment="1">
      <alignment horizontal="center"/>
    </xf>
    <xf numFmtId="0" fontId="136" fillId="0" borderId="53" xfId="0" applyFont="1" applyBorder="1" applyAlignment="1">
      <alignment horizontal="center"/>
    </xf>
    <xf numFmtId="0" fontId="136" fillId="0" borderId="54" xfId="0" applyFont="1" applyBorder="1" applyAlignment="1">
      <alignment horizontal="center"/>
    </xf>
    <xf numFmtId="0" fontId="34" fillId="0" borderId="0" xfId="65" applyFont="1" applyBorder="1" applyAlignment="1">
      <alignment horizontal="left" vertical="center" wrapText="1"/>
      <protection/>
    </xf>
    <xf numFmtId="0" fontId="34" fillId="0" borderId="12" xfId="65" applyFont="1" applyFill="1" applyBorder="1" applyAlignment="1">
      <alignment horizontal="center" vertical="center"/>
      <protection/>
    </xf>
    <xf numFmtId="0" fontId="34" fillId="0" borderId="22" xfId="65" applyFont="1" applyFill="1" applyBorder="1" applyAlignment="1">
      <alignment horizontal="center" vertical="center"/>
      <protection/>
    </xf>
    <xf numFmtId="0" fontId="34" fillId="0" borderId="11" xfId="65" applyFont="1" applyFill="1" applyBorder="1" applyAlignment="1">
      <alignment horizontal="center" vertical="center"/>
      <protection/>
    </xf>
    <xf numFmtId="0" fontId="72" fillId="0" borderId="13" xfId="65" applyFont="1" applyFill="1" applyBorder="1" applyAlignment="1">
      <alignment horizontal="left" vertical="center" wrapText="1"/>
      <protection/>
    </xf>
    <xf numFmtId="0" fontId="72" fillId="0" borderId="15" xfId="65" applyFont="1" applyFill="1" applyBorder="1" applyAlignment="1">
      <alignment horizontal="left" vertical="center" wrapText="1"/>
      <protection/>
    </xf>
    <xf numFmtId="0" fontId="146" fillId="0" borderId="12" xfId="65" applyFont="1" applyBorder="1" applyAlignment="1">
      <alignment horizontal="center" vertical="center"/>
      <protection/>
    </xf>
    <xf numFmtId="0" fontId="146" fillId="0" borderId="22" xfId="65" applyFont="1" applyBorder="1" applyAlignment="1">
      <alignment horizontal="center" vertical="center"/>
      <protection/>
    </xf>
    <xf numFmtId="0" fontId="146" fillId="0" borderId="11" xfId="65" applyFont="1" applyBorder="1" applyAlignment="1">
      <alignment horizontal="center" vertical="center"/>
      <protection/>
    </xf>
    <xf numFmtId="0" fontId="45" fillId="0" borderId="0" xfId="65" applyFont="1" applyBorder="1" applyAlignment="1">
      <alignment horizontal="left" vertical="center"/>
      <protection/>
    </xf>
    <xf numFmtId="0" fontId="40" fillId="0" borderId="14" xfId="65" applyFont="1" applyBorder="1" applyAlignment="1">
      <alignment horizontal="center" vertical="center" wrapText="1"/>
      <protection/>
    </xf>
    <xf numFmtId="0" fontId="72" fillId="0" borderId="13" xfId="65" applyFont="1" applyFill="1" applyBorder="1" applyAlignment="1">
      <alignment horizontal="center" vertical="center" wrapText="1"/>
      <protection/>
    </xf>
    <xf numFmtId="0" fontId="72" fillId="0" borderId="15" xfId="65" applyFont="1" applyFill="1" applyBorder="1" applyAlignment="1">
      <alignment horizontal="center" vertical="center" wrapText="1"/>
      <protection/>
    </xf>
    <xf numFmtId="0" fontId="72" fillId="0" borderId="10" xfId="65" applyFont="1" applyFill="1" applyBorder="1" applyAlignment="1">
      <alignment horizontal="left" vertical="center" wrapText="1"/>
      <protection/>
    </xf>
    <xf numFmtId="0" fontId="72" fillId="0" borderId="10" xfId="65" applyFont="1" applyFill="1" applyBorder="1" applyAlignment="1">
      <alignment horizontal="center" vertical="center" wrapText="1"/>
      <protection/>
    </xf>
    <xf numFmtId="0" fontId="72" fillId="0" borderId="13" xfId="65" applyFont="1" applyFill="1" applyBorder="1" applyAlignment="1">
      <alignment horizontal="center" vertical="top" wrapText="1"/>
      <protection/>
    </xf>
    <xf numFmtId="0" fontId="72" fillId="0" borderId="15" xfId="65" applyFont="1" applyFill="1" applyBorder="1" applyAlignment="1">
      <alignment horizontal="center" vertical="top" wrapText="1"/>
      <protection/>
    </xf>
  </cellXfs>
  <cellStyles count="8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Foglio1" xfId="46"/>
    <cellStyle name="Comma [0]" xfId="47"/>
    <cellStyle name="Migliaia 10" xfId="48"/>
    <cellStyle name="Migliaia 11" xfId="49"/>
    <cellStyle name="Migliaia 12" xfId="50"/>
    <cellStyle name="Migliaia 13" xfId="51"/>
    <cellStyle name="Migliaia 14" xfId="52"/>
    <cellStyle name="Migliaia 15" xfId="53"/>
    <cellStyle name="Migliaia 16" xfId="54"/>
    <cellStyle name="Migliaia 17" xfId="55"/>
    <cellStyle name="Migliaia 2" xfId="56"/>
    <cellStyle name="Migliaia 3" xfId="57"/>
    <cellStyle name="Migliaia 4" xfId="58"/>
    <cellStyle name="Migliaia 5" xfId="59"/>
    <cellStyle name="Migliaia 6" xfId="60"/>
    <cellStyle name="Migliaia 7" xfId="61"/>
    <cellStyle name="Migliaia 8" xfId="62"/>
    <cellStyle name="Migliaia 9" xfId="63"/>
    <cellStyle name="Neutrale" xfId="64"/>
    <cellStyle name="Normale 2" xfId="65"/>
    <cellStyle name="Normale 2 2" xfId="66"/>
    <cellStyle name="Normale 2 2 2" xfId="67"/>
    <cellStyle name="Normale 2 2_Penale_Tavole 2 1_2 5AG 2010_2011PERUGIA (2)" xfId="68"/>
    <cellStyle name="Normale 3" xfId="69"/>
    <cellStyle name="Normale 3 2" xfId="70"/>
    <cellStyle name="Normale 4" xfId="71"/>
    <cellStyle name="Normale 5" xfId="72"/>
    <cellStyle name="Normale 6" xfId="73"/>
    <cellStyle name="Normale 7" xfId="74"/>
    <cellStyle name="Normale 8" xfId="75"/>
    <cellStyle name="Normale 9" xfId="76"/>
    <cellStyle name="Nota" xfId="77"/>
    <cellStyle name="Output" xfId="78"/>
    <cellStyle name="Percent" xfId="79"/>
    <cellStyle name="Percentuale 2" xfId="80"/>
    <cellStyle name="Percentuale 3" xfId="81"/>
    <cellStyle name="Percentuale 4" xfId="82"/>
    <cellStyle name="Testo avviso" xfId="83"/>
    <cellStyle name="Testo descrittivo" xfId="84"/>
    <cellStyle name="Titolo" xfId="85"/>
    <cellStyle name="Titolo 1" xfId="86"/>
    <cellStyle name="Titolo 2" xfId="87"/>
    <cellStyle name="Titolo 3" xfId="88"/>
    <cellStyle name="Titolo 4" xfId="89"/>
    <cellStyle name="Totale" xfId="90"/>
    <cellStyle name="Valore non valido" xfId="91"/>
    <cellStyle name="Valore valido" xfId="92"/>
    <cellStyle name="Currency" xfId="93"/>
    <cellStyle name="Valuta (0)_Foglio1" xfId="94"/>
    <cellStyle name="Currency [0]"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Procedimenti di Cognizione Ordinaria Iscritti, Definiti e Pendenti al 30 giugno 2014 presso Tribunali e Sezioni distaccate  del distretto di Catania aggregati per  circondario</a:t>
            </a:r>
          </a:p>
        </c:rich>
      </c:tx>
      <c:layout>
        <c:manualLayout>
          <c:xMode val="factor"/>
          <c:yMode val="factor"/>
          <c:x val="-0.00175"/>
          <c:y val="-0.01225"/>
        </c:manualLayout>
      </c:layout>
      <c:spPr>
        <a:noFill/>
        <a:ln w="3175">
          <a:noFill/>
        </a:ln>
      </c:spPr>
    </c:title>
    <c:view3D>
      <c:rotX val="15"/>
      <c:hPercent val="38"/>
      <c:rotY val="20"/>
      <c:depthPercent val="100"/>
      <c:rAngAx val="1"/>
    </c:view3D>
    <c:plotArea>
      <c:layout>
        <c:manualLayout>
          <c:xMode val="edge"/>
          <c:yMode val="edge"/>
          <c:x val="0.01625"/>
          <c:y val="0.145"/>
          <c:w val="0.96475"/>
          <c:h val="0.729"/>
        </c:manualLayout>
      </c:layout>
      <c:bar3DChart>
        <c:barDir val="col"/>
        <c:grouping val="clustered"/>
        <c:varyColors val="0"/>
        <c:ser>
          <c:idx val="0"/>
          <c:order val="0"/>
          <c:tx>
            <c:strRef>
              <c:f>'Gafici andamento materie'!$B$3</c:f>
              <c:strCache>
                <c:ptCount val="1"/>
                <c:pt idx="0">
                  <c:v>Iscritti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'Gafici andamento materie'!$A$4:$A$7</c:f>
              <c:strCache/>
            </c:strRef>
          </c:cat>
          <c:val>
            <c:numRef>
              <c:f>'Gafici andamento materie'!$B$4:$B$7</c:f>
              <c:numCache/>
            </c:numRef>
          </c:val>
          <c:shape val="cylinder"/>
        </c:ser>
        <c:ser>
          <c:idx val="1"/>
          <c:order val="1"/>
          <c:tx>
            <c:strRef>
              <c:f>'Gafici andamento materie'!$C$3</c:f>
              <c:strCache>
                <c:ptCount val="1"/>
                <c:pt idx="0">
                  <c:v>Definiti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'Gafici andamento materie'!$A$4:$A$7</c:f>
              <c:strCache/>
            </c:strRef>
          </c:cat>
          <c:val>
            <c:numRef>
              <c:f>'Gafici andamento materie'!$C$4:$C$7</c:f>
              <c:numCache/>
            </c:numRef>
          </c:val>
          <c:shape val="cylinder"/>
        </c:ser>
        <c:ser>
          <c:idx val="2"/>
          <c:order val="2"/>
          <c:tx>
            <c:strRef>
              <c:f>'Gafici andamento materie'!$D$3</c:f>
              <c:strCache>
                <c:ptCount val="1"/>
                <c:pt idx="0">
                  <c:v>Pendenti Finali</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'Gafici andamento materie'!$A$4:$A$7</c:f>
              <c:strCache/>
            </c:strRef>
          </c:cat>
          <c:val>
            <c:numRef>
              <c:f>'Gafici andamento materie'!$D$4:$D$7</c:f>
              <c:numCache/>
            </c:numRef>
          </c:val>
          <c:shape val="cylinder"/>
        </c:ser>
        <c:gapWidth val="75"/>
        <c:shape val="cylinder"/>
        <c:axId val="51465840"/>
        <c:axId val="60539377"/>
      </c:bar3DChart>
      <c:catAx>
        <c:axId val="51465840"/>
        <c:scaling>
          <c:orientation val="minMax"/>
        </c:scaling>
        <c:axPos val="b"/>
        <c:delete val="0"/>
        <c:numFmt formatCode="General" sourceLinked="1"/>
        <c:majorTickMark val="none"/>
        <c:minorTickMark val="none"/>
        <c:tickLblPos val="nextTo"/>
        <c:spPr>
          <a:ln w="3175">
            <a:solidFill>
              <a:srgbClr val="808080"/>
            </a:solidFill>
          </a:ln>
        </c:spPr>
        <c:crossAx val="60539377"/>
        <c:crosses val="autoZero"/>
        <c:auto val="1"/>
        <c:lblOffset val="100"/>
        <c:tickLblSkip val="1"/>
        <c:noMultiLvlLbl val="0"/>
      </c:catAx>
      <c:valAx>
        <c:axId val="605393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465840"/>
        <c:crossesAt val="1"/>
        <c:crossBetween val="between"/>
        <c:dispUnits/>
      </c:valAx>
      <c:spPr>
        <a:noFill/>
        <a:ln>
          <a:noFill/>
        </a:ln>
      </c:spPr>
    </c:plotArea>
    <c:legend>
      <c:legendPos val="b"/>
      <c:layout>
        <c:manualLayout>
          <c:xMode val="edge"/>
          <c:yMode val="edge"/>
          <c:x val="0.31175"/>
          <c:y val="0.918"/>
          <c:w val="0.373"/>
          <c:h val="0.063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Procedimenti civili Definiti presso Tribunali e Sezioni distaccate del distretto  di Catania nell'A.G. 2013/2014 - Principali materie</a:t>
            </a:r>
          </a:p>
        </c:rich>
      </c:tx>
      <c:layout>
        <c:manualLayout>
          <c:xMode val="factor"/>
          <c:yMode val="factor"/>
          <c:x val="-0.0015"/>
          <c:y val="-0.011"/>
        </c:manualLayout>
      </c:layout>
      <c:spPr>
        <a:noFill/>
        <a:ln w="3175">
          <a:noFill/>
        </a:ln>
      </c:spPr>
    </c:title>
    <c:view3D>
      <c:rotX val="30"/>
      <c:hPercent val="100"/>
      <c:rotY val="0"/>
      <c:depthPercent val="100"/>
      <c:rAngAx val="1"/>
    </c:view3D>
    <c:plotArea>
      <c:layout>
        <c:manualLayout>
          <c:xMode val="edge"/>
          <c:yMode val="edge"/>
          <c:x val="0.3035"/>
          <c:y val="0.35325"/>
          <c:w val="0.45175"/>
          <c:h val="0.393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'Materie '!$A$6:$A$16</c:f>
              <c:strCache/>
            </c:strRef>
          </c:cat>
          <c:val>
            <c:numRef>
              <c:f>'Materie '!$D$6:$D$16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Procedimenti civili definiti con Sentenza  Collegiale per Circondario nell'anno 2013 secondo l'anno di iscrizione dei procedimenti</a:t>
            </a:r>
          </a:p>
        </c:rich>
      </c:tx>
      <c:layout>
        <c:manualLayout>
          <c:xMode val="factor"/>
          <c:yMode val="factor"/>
          <c:x val="0.023"/>
          <c:y val="0.007"/>
        </c:manualLayout>
      </c:layout>
      <c:spPr>
        <a:noFill/>
        <a:ln w="3175">
          <a:noFill/>
        </a:ln>
      </c:spPr>
    </c:title>
    <c:view3D>
      <c:rotX val="15"/>
      <c:hPercent val="28"/>
      <c:rotY val="20"/>
      <c:depthPercent val="100"/>
      <c:rAngAx val="1"/>
    </c:view3D>
    <c:plotArea>
      <c:layout>
        <c:manualLayout>
          <c:xMode val="edge"/>
          <c:yMode val="edge"/>
          <c:x val="0.01725"/>
          <c:y val="0.2035"/>
          <c:w val="0.97275"/>
          <c:h val="0.648"/>
        </c:manualLayout>
      </c:layout>
      <c:bar3DChart>
        <c:barDir val="col"/>
        <c:grouping val="clustered"/>
        <c:varyColors val="0"/>
        <c:ser>
          <c:idx val="0"/>
          <c:order val="0"/>
          <c:tx>
            <c:strRef>
              <c:f>'Grafici Tav_1.3'!$B$19</c:f>
              <c:strCache>
                <c:ptCount val="1"/>
                <c:pt idx="0">
                  <c:v>Circondario di Caltagirone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Tav_1.3'!$C$19:$J$19</c:f>
              <c:numCache/>
            </c:numRef>
          </c:val>
          <c:shape val="box"/>
        </c:ser>
        <c:ser>
          <c:idx val="1"/>
          <c:order val="1"/>
          <c:tx>
            <c:strRef>
              <c:f>'Grafici Tav_1.3'!$B$20</c:f>
              <c:strCache>
                <c:ptCount val="1"/>
                <c:pt idx="0">
                  <c:v>Circondario di Catania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Tav_1.3'!$C$20:$J$20</c:f>
              <c:numCache/>
            </c:numRef>
          </c:val>
          <c:shape val="box"/>
        </c:ser>
        <c:ser>
          <c:idx val="2"/>
          <c:order val="2"/>
          <c:tx>
            <c:strRef>
              <c:f>'Grafici Tav_1.3'!$B$21</c:f>
              <c:strCache>
                <c:ptCount val="1"/>
                <c:pt idx="0">
                  <c:v>Circondario di Modica (ex Tribunale di Modica)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Tav_1.3'!$C$21:$J$21</c:f>
              <c:numCache/>
            </c:numRef>
          </c:val>
          <c:shape val="box"/>
        </c:ser>
        <c:ser>
          <c:idx val="3"/>
          <c:order val="3"/>
          <c:tx>
            <c:strRef>
              <c:f>'Grafici Tav_1.3'!$B$22</c:f>
              <c:strCache>
                <c:ptCount val="1"/>
                <c:pt idx="0">
                  <c:v>Circondario di Ragusa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Tav_1.3'!$C$22:$J$22</c:f>
              <c:numCache/>
            </c:numRef>
          </c:val>
          <c:shape val="box"/>
        </c:ser>
        <c:ser>
          <c:idx val="4"/>
          <c:order val="4"/>
          <c:tx>
            <c:strRef>
              <c:f>'Grafici Tav_1.3'!$B$23</c:f>
              <c:strCache>
                <c:ptCount val="1"/>
                <c:pt idx="0">
                  <c:v>Circondario di Siracusa</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Tav_1.3'!$C$23:$J$23</c:f>
              <c:numCache/>
            </c:numRef>
          </c:val>
          <c:shape val="box"/>
        </c:ser>
        <c:gapWidth val="75"/>
        <c:shape val="box"/>
        <c:axId val="54289238"/>
        <c:axId val="18841095"/>
      </c:bar3DChart>
      <c:catAx>
        <c:axId val="5428923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841095"/>
        <c:crosses val="autoZero"/>
        <c:auto val="1"/>
        <c:lblOffset val="100"/>
        <c:tickLblSkip val="1"/>
        <c:noMultiLvlLbl val="0"/>
      </c:catAx>
      <c:valAx>
        <c:axId val="188410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289238"/>
        <c:crossesAt val="1"/>
        <c:crossBetween val="between"/>
        <c:dispUnits/>
      </c:valAx>
      <c:spPr>
        <a:noFill/>
        <a:ln>
          <a:noFill/>
        </a:ln>
      </c:spPr>
    </c:plotArea>
    <c:legend>
      <c:legendPos val="b"/>
      <c:layout>
        <c:manualLayout>
          <c:xMode val="edge"/>
          <c:yMode val="edge"/>
          <c:x val="0.1725"/>
          <c:y val="0.8415"/>
          <c:w val="0.65075"/>
          <c:h val="0.1442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Procedimenti civili definiti con Sentenza Monocratica  per Circondario nell'anno 2013 secondo anno di iscrizione dei procedimenti</a:t>
            </a:r>
          </a:p>
        </c:rich>
      </c:tx>
      <c:layout>
        <c:manualLayout>
          <c:xMode val="factor"/>
          <c:yMode val="factor"/>
          <c:x val="-0.00275"/>
          <c:y val="-0.0135"/>
        </c:manualLayout>
      </c:layout>
      <c:spPr>
        <a:noFill/>
        <a:ln w="3175">
          <a:noFill/>
        </a:ln>
      </c:spPr>
    </c:title>
    <c:view3D>
      <c:rotX val="15"/>
      <c:hPercent val="40"/>
      <c:rotY val="20"/>
      <c:depthPercent val="100"/>
      <c:rAngAx val="1"/>
    </c:view3D>
    <c:plotArea>
      <c:layout>
        <c:manualLayout>
          <c:xMode val="edge"/>
          <c:yMode val="edge"/>
          <c:x val="0.03475"/>
          <c:y val="0.1555"/>
          <c:w val="0.94025"/>
          <c:h val="0.78475"/>
        </c:manualLayout>
      </c:layout>
      <c:bar3DChart>
        <c:barDir val="col"/>
        <c:grouping val="clustered"/>
        <c:varyColors val="0"/>
        <c:ser>
          <c:idx val="0"/>
          <c:order val="0"/>
          <c:tx>
            <c:strRef>
              <c:f>'Grafici Tav_1.3'!$B$29</c:f>
              <c:strCache>
                <c:ptCount val="1"/>
                <c:pt idx="0">
                  <c:v>Circondario di Caltagirone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Tav_1.3'!$C$29:$J$29</c:f>
              <c:numCache/>
            </c:numRef>
          </c:val>
          <c:shape val="box"/>
        </c:ser>
        <c:ser>
          <c:idx val="1"/>
          <c:order val="1"/>
          <c:tx>
            <c:strRef>
              <c:f>'Grafici Tav_1.3'!$B$30</c:f>
              <c:strCache>
                <c:ptCount val="1"/>
                <c:pt idx="0">
                  <c:v>Circondario di Catania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Tav_1.3'!$C$30:$J$30</c:f>
              <c:numCache/>
            </c:numRef>
          </c:val>
          <c:shape val="box"/>
        </c:ser>
        <c:ser>
          <c:idx val="2"/>
          <c:order val="2"/>
          <c:tx>
            <c:strRef>
              <c:f>'Grafici Tav_1.3'!$B$31</c:f>
              <c:strCache>
                <c:ptCount val="1"/>
                <c:pt idx="0">
                  <c:v>Circondario di Modica (ex Tribunale di Modica)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Tav_1.3'!$C$31:$J$31</c:f>
              <c:numCache/>
            </c:numRef>
          </c:val>
          <c:shape val="box"/>
        </c:ser>
        <c:ser>
          <c:idx val="3"/>
          <c:order val="3"/>
          <c:tx>
            <c:strRef>
              <c:f>'Grafici Tav_1.3'!$B$32</c:f>
              <c:strCache>
                <c:ptCount val="1"/>
                <c:pt idx="0">
                  <c:v>Circondario di Ragusa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Tav_1.3'!$C$32:$J$32</c:f>
              <c:numCache/>
            </c:numRef>
          </c:val>
          <c:shape val="box"/>
        </c:ser>
        <c:ser>
          <c:idx val="4"/>
          <c:order val="4"/>
          <c:tx>
            <c:strRef>
              <c:f>'Grafici Tav_1.3'!$B$33</c:f>
              <c:strCache>
                <c:ptCount val="1"/>
                <c:pt idx="0">
                  <c:v>Circondario di Siracusa</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Tav_1.3'!$C$33:$J$33</c:f>
              <c:numCache/>
            </c:numRef>
          </c:val>
          <c:shape val="box"/>
        </c:ser>
        <c:gapWidth val="75"/>
        <c:shape val="box"/>
        <c:axId val="35352128"/>
        <c:axId val="49733697"/>
      </c:bar3DChart>
      <c:catAx>
        <c:axId val="3535212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733697"/>
        <c:crosses val="autoZero"/>
        <c:auto val="1"/>
        <c:lblOffset val="100"/>
        <c:tickLblSkip val="1"/>
        <c:noMultiLvlLbl val="0"/>
      </c:catAx>
      <c:valAx>
        <c:axId val="4973369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352128"/>
        <c:crossesAt val="1"/>
        <c:crossBetween val="between"/>
        <c:dispUnits/>
      </c:valAx>
      <c:spPr>
        <a:noFill/>
        <a:ln>
          <a:noFill/>
        </a:ln>
      </c:spPr>
    </c:plotArea>
    <c:legend>
      <c:legendPos val="b"/>
      <c:layout>
        <c:manualLayout>
          <c:xMode val="edge"/>
          <c:yMode val="edge"/>
          <c:x val="0.17625"/>
          <c:y val="0.84975"/>
          <c:w val="0.6435"/>
          <c:h val="0.136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Procedimenti civili iscritti, definiti e pendenti al 30 giugno 2014 - Tribunale dei Minorenni
</a:t>
            </a:r>
          </a:p>
        </c:rich>
      </c:tx>
      <c:layout>
        <c:manualLayout>
          <c:xMode val="factor"/>
          <c:yMode val="factor"/>
          <c:x val="-0.00125"/>
          <c:y val="-0.01125"/>
        </c:manualLayout>
      </c:layout>
      <c:spPr>
        <a:noFill/>
        <a:ln w="3175">
          <a:noFill/>
        </a:ln>
      </c:spPr>
    </c:title>
    <c:view3D>
      <c:rotX val="15"/>
      <c:hPercent val="29"/>
      <c:rotY val="20"/>
      <c:depthPercent val="100"/>
      <c:rAngAx val="1"/>
    </c:view3D>
    <c:plotArea>
      <c:layout>
        <c:manualLayout>
          <c:xMode val="edge"/>
          <c:yMode val="edge"/>
          <c:x val="0.011"/>
          <c:y val="0.16175"/>
          <c:w val="0.97675"/>
          <c:h val="0.72475"/>
        </c:manualLayout>
      </c:layout>
      <c:bar3DChart>
        <c:barDir val="col"/>
        <c:grouping val="clustered"/>
        <c:varyColors val="0"/>
        <c:ser>
          <c:idx val="0"/>
          <c:order val="0"/>
          <c:tx>
            <c:strRef>
              <c:f>'Tav_1.6_1.7'!$B$3</c:f>
              <c:strCache>
                <c:ptCount val="1"/>
                <c:pt idx="0">
                  <c:v>Iscritti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'Tav_1.6_1.7'!$A$4:$A$7</c:f>
              <c:strCache/>
            </c:strRef>
          </c:cat>
          <c:val>
            <c:numRef>
              <c:f>'Tav_1.6_1.7'!$B$4:$B$7</c:f>
              <c:numCache/>
            </c:numRef>
          </c:val>
          <c:shape val="cylinder"/>
        </c:ser>
        <c:ser>
          <c:idx val="1"/>
          <c:order val="1"/>
          <c:tx>
            <c:strRef>
              <c:f>'Tav_1.6_1.7'!$C$3</c:f>
              <c:strCache>
                <c:ptCount val="1"/>
                <c:pt idx="0">
                  <c:v>Definiti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'Tav_1.6_1.7'!$A$4:$A$7</c:f>
              <c:strCache/>
            </c:strRef>
          </c:cat>
          <c:val>
            <c:numRef>
              <c:f>'Tav_1.6_1.7'!$C$4:$C$7</c:f>
              <c:numCache/>
            </c:numRef>
          </c:val>
          <c:shape val="cylinder"/>
        </c:ser>
        <c:ser>
          <c:idx val="2"/>
          <c:order val="2"/>
          <c:tx>
            <c:strRef>
              <c:f>'Tav_1.6_1.7'!$D$3</c:f>
              <c:strCache>
                <c:ptCount val="1"/>
                <c:pt idx="0">
                  <c:v> Pendenti Finali</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'Tav_1.6_1.7'!$A$4:$A$7</c:f>
              <c:strCache/>
            </c:strRef>
          </c:cat>
          <c:val>
            <c:numRef>
              <c:f>'Tav_1.6_1.7'!$D$4:$D$7</c:f>
              <c:numCache/>
            </c:numRef>
          </c:val>
          <c:shape val="cylinder"/>
        </c:ser>
        <c:gapWidth val="75"/>
        <c:shape val="cylinder"/>
        <c:axId val="44950090"/>
        <c:axId val="1897627"/>
      </c:bar3DChart>
      <c:catAx>
        <c:axId val="44950090"/>
        <c:scaling>
          <c:orientation val="minMax"/>
        </c:scaling>
        <c:axPos val="b"/>
        <c:delete val="0"/>
        <c:numFmt formatCode="General" sourceLinked="1"/>
        <c:majorTickMark val="none"/>
        <c:minorTickMark val="none"/>
        <c:tickLblPos val="nextTo"/>
        <c:spPr>
          <a:ln w="3175">
            <a:solidFill>
              <a:srgbClr val="808080"/>
            </a:solidFill>
          </a:ln>
        </c:spPr>
        <c:crossAx val="1897627"/>
        <c:crosses val="autoZero"/>
        <c:auto val="1"/>
        <c:lblOffset val="100"/>
        <c:tickLblSkip val="1"/>
        <c:noMultiLvlLbl val="0"/>
      </c:catAx>
      <c:valAx>
        <c:axId val="18976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4950090"/>
        <c:crossesAt val="1"/>
        <c:crossBetween val="between"/>
        <c:dispUnits/>
      </c:valAx>
      <c:spPr>
        <a:noFill/>
        <a:ln>
          <a:noFill/>
        </a:ln>
      </c:spPr>
    </c:plotArea>
    <c:legend>
      <c:legendPos val="b"/>
      <c:layout>
        <c:manualLayout>
          <c:xMode val="edge"/>
          <c:yMode val="edge"/>
          <c:x val="0.38275"/>
          <c:y val="0.92675"/>
          <c:w val="0.232"/>
          <c:h val="0.0562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Incidenza dei nuovi iscritti-Cognizione Ordinaria</a:t>
            </a:r>
          </a:p>
        </c:rich>
      </c:tx>
      <c:layout>
        <c:manualLayout>
          <c:xMode val="factor"/>
          <c:yMode val="factor"/>
          <c:x val="-0.0275"/>
          <c:y val="-0.0345"/>
        </c:manualLayout>
      </c:layout>
      <c:spPr>
        <a:noFill/>
        <a:ln w="3175">
          <a:noFill/>
        </a:ln>
      </c:spPr>
    </c:title>
    <c:view3D>
      <c:rotX val="15"/>
      <c:rotY val="20"/>
      <c:depthPercent val="100"/>
      <c:rAngAx val="1"/>
    </c:view3D>
    <c:plotArea>
      <c:layout>
        <c:manualLayout>
          <c:xMode val="edge"/>
          <c:yMode val="edge"/>
          <c:x val="0.0125"/>
          <c:y val="0.18475"/>
          <c:w val="0.9895"/>
          <c:h val="0.80475"/>
        </c:manualLayout>
      </c:layout>
      <c:bar3DChart>
        <c:barDir val="bar"/>
        <c:grouping val="clustered"/>
        <c:varyColors val="0"/>
        <c:ser>
          <c:idx val="1"/>
          <c:order val="0"/>
          <c:tx>
            <c:strRef>
              <c:f>'grafici nuovi iscritti'!$C$4:$C$5</c:f>
              <c:strCache>
                <c:ptCount val="1"/>
                <c:pt idx="0">
                  <c:v>Cognizione ordinaria Iscritti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nuovi iscritti'!$A$6:$A$23</c:f>
              <c:strCache/>
            </c:strRef>
          </c:cat>
          <c:val>
            <c:numRef>
              <c:f>'grafici nuovi iscritti'!$C$6:$C$23</c:f>
              <c:numCache/>
            </c:numRef>
          </c:val>
          <c:shape val="cylinder"/>
        </c:ser>
        <c:ser>
          <c:idx val="2"/>
          <c:order val="1"/>
          <c:tx>
            <c:strRef>
              <c:f>'grafici nuovi iscritti'!$D$4:$D$5</c:f>
              <c:strCache>
                <c:ptCount val="1"/>
                <c:pt idx="0">
                  <c:v>Cognizione ordinaria Nuovi Iscritti</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nuovi iscritti'!$A$6:$A$23</c:f>
              <c:strCache/>
            </c:strRef>
          </c:cat>
          <c:val>
            <c:numRef>
              <c:f>'grafici nuovi iscritti'!$D$6:$D$23</c:f>
              <c:numCache/>
            </c:numRef>
          </c:val>
          <c:shape val="cylinder"/>
        </c:ser>
        <c:shape val="cylinder"/>
        <c:axId val="17078644"/>
        <c:axId val="19490069"/>
      </c:bar3DChart>
      <c:catAx>
        <c:axId val="17078644"/>
        <c:scaling>
          <c:orientation val="minMax"/>
        </c:scaling>
        <c:axPos val="l"/>
        <c:delete val="0"/>
        <c:numFmt formatCode="General" sourceLinked="1"/>
        <c:majorTickMark val="none"/>
        <c:minorTickMark val="none"/>
        <c:tickLblPos val="nextTo"/>
        <c:spPr>
          <a:ln w="3175">
            <a:solidFill>
              <a:srgbClr val="808080"/>
            </a:solidFill>
          </a:ln>
        </c:spPr>
        <c:crossAx val="19490069"/>
        <c:crosses val="autoZero"/>
        <c:auto val="1"/>
        <c:lblOffset val="100"/>
        <c:tickLblSkip val="1"/>
        <c:noMultiLvlLbl val="0"/>
      </c:catAx>
      <c:valAx>
        <c:axId val="194900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78644"/>
        <c:crossesAt val="1"/>
        <c:crossBetween val="between"/>
        <c:dispUnits/>
      </c:valAx>
      <c:spPr>
        <a:noFill/>
        <a:ln>
          <a:noFill/>
        </a:ln>
      </c:spPr>
    </c:plotArea>
    <c:legend>
      <c:legendPos val="b"/>
      <c:layout>
        <c:manualLayout>
          <c:xMode val="edge"/>
          <c:yMode val="edge"/>
          <c:x val="0.08875"/>
          <c:y val="0.90725"/>
          <c:w val="0.819"/>
          <c:h val="0.092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Incidenza dei nuovi iscritti-Procedimenti speciali</a:t>
            </a:r>
          </a:p>
        </c:rich>
      </c:tx>
      <c:layout>
        <c:manualLayout>
          <c:xMode val="factor"/>
          <c:yMode val="factor"/>
          <c:x val="-0.00175"/>
          <c:y val="-0.00975"/>
        </c:manualLayout>
      </c:layout>
      <c:spPr>
        <a:noFill/>
        <a:ln w="3175">
          <a:noFill/>
        </a:ln>
      </c:spPr>
    </c:title>
    <c:view3D>
      <c:rotX val="15"/>
      <c:rotY val="20"/>
      <c:depthPercent val="100"/>
      <c:rAngAx val="1"/>
    </c:view3D>
    <c:plotArea>
      <c:layout>
        <c:manualLayout>
          <c:xMode val="edge"/>
          <c:yMode val="edge"/>
          <c:x val="0.01725"/>
          <c:y val="0.14325"/>
          <c:w val="0.96275"/>
          <c:h val="0.71875"/>
        </c:manualLayout>
      </c:layout>
      <c:bar3DChart>
        <c:barDir val="bar"/>
        <c:grouping val="clustered"/>
        <c:varyColors val="0"/>
        <c:ser>
          <c:idx val="0"/>
          <c:order val="0"/>
          <c:tx>
            <c:strRef>
              <c:f>'grafici nuovi iscritti'!$H$4:$H$5</c:f>
              <c:strCache>
                <c:ptCount val="1"/>
                <c:pt idx="0">
                  <c:v>Procedimenti speciali Iscritti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nuovi iscritti'!$A$6:$A$23</c:f>
              <c:strCache/>
            </c:strRef>
          </c:cat>
          <c:val>
            <c:numRef>
              <c:f>'grafici nuovi iscritti'!$H$6:$H$23</c:f>
              <c:numCache/>
            </c:numRef>
          </c:val>
          <c:shape val="cylinder"/>
        </c:ser>
        <c:ser>
          <c:idx val="2"/>
          <c:order val="1"/>
          <c:tx>
            <c:strRef>
              <c:f>'grafici nuovi iscritti'!$I$4:$I$5</c:f>
              <c:strCache>
                <c:ptCount val="1"/>
                <c:pt idx="0">
                  <c:v>Procedimenti speciali Nuovi Iscritti</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nuovi iscritti'!$A$6:$A$23</c:f>
              <c:strCache/>
            </c:strRef>
          </c:cat>
          <c:val>
            <c:numRef>
              <c:f>'grafici nuovi iscritti'!$I$6:$I$23</c:f>
              <c:numCache/>
            </c:numRef>
          </c:val>
          <c:shape val="cylinder"/>
        </c:ser>
        <c:gapWidth val="75"/>
        <c:shape val="cylinder"/>
        <c:axId val="41192894"/>
        <c:axId val="35191727"/>
      </c:bar3DChart>
      <c:catAx>
        <c:axId val="41192894"/>
        <c:scaling>
          <c:orientation val="minMax"/>
        </c:scaling>
        <c:axPos val="l"/>
        <c:delete val="0"/>
        <c:numFmt formatCode="General" sourceLinked="1"/>
        <c:majorTickMark val="none"/>
        <c:minorTickMark val="none"/>
        <c:tickLblPos val="nextTo"/>
        <c:spPr>
          <a:ln w="3175">
            <a:solidFill>
              <a:srgbClr val="808080"/>
            </a:solidFill>
          </a:ln>
        </c:spPr>
        <c:crossAx val="35191727"/>
        <c:crosses val="autoZero"/>
        <c:auto val="1"/>
        <c:lblOffset val="100"/>
        <c:tickLblSkip val="1"/>
        <c:noMultiLvlLbl val="0"/>
      </c:catAx>
      <c:valAx>
        <c:axId val="3519172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1192894"/>
        <c:crossesAt val="1"/>
        <c:crossBetween val="between"/>
        <c:dispUnits/>
      </c:valAx>
      <c:spPr>
        <a:noFill/>
        <a:ln>
          <a:noFill/>
        </a:ln>
      </c:spPr>
    </c:plotArea>
    <c:legend>
      <c:legendPos val="b"/>
      <c:layout>
        <c:manualLayout>
          <c:xMode val="edge"/>
          <c:yMode val="edge"/>
          <c:x val="0.099"/>
          <c:y val="0.9065"/>
          <c:w val="0.79675"/>
          <c:h val="0.074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Procedimenti civili pendenti in Corte d'Appello al 30 giugno 2014</a:t>
            </a:r>
          </a:p>
        </c:rich>
      </c:tx>
      <c:layout>
        <c:manualLayout>
          <c:xMode val="factor"/>
          <c:yMode val="factor"/>
          <c:x val="-0.0915"/>
          <c:y val="-0.00525"/>
        </c:manualLayout>
      </c:layout>
      <c:spPr>
        <a:noFill/>
        <a:ln w="3175">
          <a:noFill/>
        </a:ln>
      </c:spPr>
    </c:title>
    <c:view3D>
      <c:rotX val="30"/>
      <c:hPercent val="100"/>
      <c:rotY val="0"/>
      <c:depthPercent val="100"/>
      <c:rAngAx val="1"/>
    </c:view3D>
    <c:plotArea>
      <c:layout>
        <c:manualLayout>
          <c:xMode val="edge"/>
          <c:yMode val="edge"/>
          <c:x val="0.28425"/>
          <c:y val="0.52125"/>
          <c:w val="0.444"/>
          <c:h val="0.411"/>
        </c:manualLayout>
      </c:layout>
      <c:pie3D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8C3836"/>
              </a:solidFill>
              <a:ln w="3175">
                <a:noFill/>
              </a:ln>
            </c:spPr>
          </c:dPt>
          <c:dPt>
            <c:idx val="2"/>
            <c:spPr>
              <a:solidFill>
                <a:srgbClr val="71893F"/>
              </a:solidFill>
              <a:ln w="3175">
                <a:noFill/>
              </a:ln>
            </c:spPr>
          </c:dPt>
          <c:dPt>
            <c:idx val="3"/>
            <c:spPr>
              <a:solidFill>
                <a:srgbClr val="5C4776"/>
              </a:solidFill>
              <a:ln w="3175">
                <a:noFill/>
              </a:ln>
            </c:spPr>
          </c:dPt>
          <c:dPt>
            <c:idx val="4"/>
            <c:spPr>
              <a:solidFill>
                <a:srgbClr val="357D91"/>
              </a:solidFill>
              <a:ln w="3175">
                <a:noFill/>
              </a:ln>
            </c:spPr>
          </c:dPt>
          <c:dPt>
            <c:idx val="5"/>
            <c:spPr>
              <a:solidFill>
                <a:srgbClr val="B66D31"/>
              </a:solidFill>
              <a:ln w="3175">
                <a:noFill/>
              </a:ln>
            </c:spPr>
          </c:dPt>
          <c:dPt>
            <c:idx val="6"/>
            <c:spPr>
              <a:solidFill>
                <a:srgbClr val="426DA1"/>
              </a:solidFill>
              <a:ln w="3175">
                <a:noFill/>
              </a:ln>
            </c:spPr>
          </c:dPt>
          <c:dPt>
            <c:idx val="7"/>
            <c:spPr>
              <a:solidFill>
                <a:srgbClr val="A44340"/>
              </a:solidFill>
              <a:ln w="3175">
                <a:noFill/>
              </a:ln>
            </c:spPr>
          </c:dPt>
          <c:dPt>
            <c:idx val="8"/>
            <c:spPr>
              <a:solidFill>
                <a:srgbClr val="849F4B"/>
              </a:solidFill>
              <a:ln w="3175">
                <a:noFill/>
              </a:ln>
            </c:spPr>
          </c:dPt>
          <c:dPt>
            <c:idx val="9"/>
            <c:spPr>
              <a:solidFill>
                <a:srgbClr val="6C548A"/>
              </a:solidFill>
              <a:ln w="3175">
                <a:noFill/>
              </a:ln>
            </c:spPr>
          </c:dPt>
          <c:dPt>
            <c:idx val="10"/>
            <c:spPr>
              <a:solidFill>
                <a:srgbClr val="3F92A9"/>
              </a:solidFill>
              <a:ln w="3175">
                <a:noFill/>
              </a:ln>
            </c:spPr>
          </c:dPt>
          <c:dPt>
            <c:idx val="11"/>
            <c:spPr>
              <a:solidFill>
                <a:srgbClr val="D37F3A"/>
              </a:solidFill>
              <a:ln w="3175">
                <a:noFill/>
              </a:ln>
            </c:spPr>
          </c:dPt>
          <c:dPt>
            <c:idx val="12"/>
            <c:spPr>
              <a:solidFill>
                <a:srgbClr val="4B7BB4"/>
              </a:solidFill>
              <a:ln w="3175">
                <a:noFill/>
              </a:ln>
            </c:spPr>
          </c:dPt>
          <c:dPt>
            <c:idx val="13"/>
            <c:spPr>
              <a:solidFill>
                <a:srgbClr val="B74C49"/>
              </a:solidFill>
              <a:ln w="3175">
                <a:noFill/>
              </a:ln>
            </c:spPr>
          </c:dPt>
          <c:dPt>
            <c:idx val="14"/>
            <c:spPr>
              <a:solidFill>
                <a:srgbClr val="94B255"/>
              </a:solidFill>
              <a:ln w="3175">
                <a:noFill/>
              </a:ln>
            </c:spPr>
          </c:dPt>
          <c:dPt>
            <c:idx val="15"/>
            <c:spPr>
              <a:solidFill>
                <a:srgbClr val="7A5F9A"/>
              </a:solidFill>
              <a:ln w="3175">
                <a:noFill/>
              </a:ln>
            </c:spPr>
          </c:dPt>
          <c:dPt>
            <c:idx val="16"/>
            <c:spPr>
              <a:solidFill>
                <a:srgbClr val="47A4BD"/>
              </a:solidFill>
              <a:ln w="3175">
                <a:noFill/>
              </a:ln>
            </c:spPr>
          </c:dPt>
          <c:dPt>
            <c:idx val="17"/>
            <c:spPr>
              <a:solidFill>
                <a:srgbClr val="EC8F42"/>
              </a:solidFill>
              <a:ln w="3175">
                <a:noFill/>
              </a:ln>
            </c:spPr>
          </c:dPt>
          <c:dPt>
            <c:idx val="18"/>
            <c:spPr>
              <a:solidFill>
                <a:srgbClr val="7394C5"/>
              </a:solidFill>
              <a:ln w="3175">
                <a:noFill/>
              </a:ln>
            </c:spPr>
          </c:dPt>
          <c:dPt>
            <c:idx val="19"/>
            <c:spPr>
              <a:solidFill>
                <a:srgbClr val="C87372"/>
              </a:solidFill>
              <a:ln w="3175">
                <a:noFill/>
              </a:ln>
            </c:spPr>
          </c:dPt>
          <c:dPt>
            <c:idx val="20"/>
            <c:spPr>
              <a:solidFill>
                <a:srgbClr val="A9C379"/>
              </a:solidFill>
              <a:ln w="3175">
                <a:noFill/>
              </a:ln>
            </c:spPr>
          </c:dPt>
          <c:dPt>
            <c:idx val="21"/>
            <c:spPr>
              <a:solidFill>
                <a:srgbClr val="9480AE"/>
              </a:solidFill>
              <a:ln w="3175">
                <a:noFill/>
              </a:ln>
            </c:spPr>
          </c:dPt>
          <c:dPt>
            <c:idx val="22"/>
            <c:spPr>
              <a:solidFill>
                <a:srgbClr val="70B7CD"/>
              </a:solidFill>
              <a:ln w="3175">
                <a:noFill/>
              </a:ln>
            </c:spPr>
          </c:dPt>
          <c:dPt>
            <c:idx val="23"/>
            <c:spPr>
              <a:solidFill>
                <a:srgbClr val="F8A56E"/>
              </a:solidFill>
              <a:ln w="3175">
                <a:noFill/>
              </a:ln>
            </c:spPr>
          </c:dPt>
          <c:dPt>
            <c:idx val="24"/>
            <c:spPr>
              <a:solidFill>
                <a:srgbClr val="A1B4D4"/>
              </a:solidFill>
              <a:ln w="3175">
                <a:noFill/>
              </a:ln>
            </c:spPr>
          </c:dPt>
          <c:dPt>
            <c:idx val="25"/>
            <c:spPr>
              <a:solidFill>
                <a:srgbClr val="D6A1A0"/>
              </a:solidFill>
              <a:ln w="3175">
                <a:noFill/>
              </a:ln>
            </c:spPr>
          </c:dPt>
          <c:dPt>
            <c:idx val="26"/>
            <c:spPr>
              <a:solidFill>
                <a:srgbClr val="C0D2A4"/>
              </a:solidFill>
              <a:ln w="3175">
                <a:noFill/>
              </a:ln>
            </c:spPr>
          </c:dPt>
          <c:dPt>
            <c:idx val="27"/>
            <c:spPr>
              <a:solidFill>
                <a:srgbClr val="B3A8C4"/>
              </a:solidFill>
              <a:ln w="3175">
                <a:noFill/>
              </a:ln>
            </c:spPr>
          </c:dPt>
          <c:dPt>
            <c:idx val="28"/>
            <c:spPr>
              <a:solidFill>
                <a:srgbClr val="A0CAD9"/>
              </a:solidFill>
              <a:ln w="3175">
                <a:noFill/>
              </a:ln>
            </c:spPr>
          </c:dPt>
          <c:dPt>
            <c:idx val="29"/>
            <c:spPr>
              <a:solidFill>
                <a:srgbClr val="F9BE9E"/>
              </a:solidFill>
              <a:ln w="3175">
                <a:noFill/>
              </a:ln>
            </c:spPr>
          </c:dPt>
          <c:dPt>
            <c:idx val="30"/>
            <c:spPr>
              <a:solidFill>
                <a:srgbClr val="C2CDE1"/>
              </a:solidFill>
              <a:ln w="3175">
                <a:noFill/>
              </a:ln>
            </c:spPr>
          </c:dPt>
          <c:dPt>
            <c:idx val="31"/>
            <c:spPr>
              <a:solidFill>
                <a:srgbClr val="E2C2C2"/>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'Corte Appello'!$A$49:$A$80</c:f>
              <c:strCache/>
            </c:strRef>
          </c:cat>
          <c:val>
            <c:numRef>
              <c:f>'Corte Appello'!$E$49:$E$80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Andamento dei procedimenti di Cognizione Ordinaria presso la Corte di Appello</a:t>
            </a:r>
          </a:p>
        </c:rich>
      </c:tx>
      <c:layout>
        <c:manualLayout>
          <c:xMode val="factor"/>
          <c:yMode val="factor"/>
          <c:x val="0.00925"/>
          <c:y val="0"/>
        </c:manualLayout>
      </c:layout>
      <c:spPr>
        <a:noFill/>
        <a:ln w="3175">
          <a:noFill/>
        </a:ln>
      </c:spPr>
    </c:title>
    <c:plotArea>
      <c:layout>
        <c:manualLayout>
          <c:xMode val="edge"/>
          <c:yMode val="edge"/>
          <c:x val="0.063"/>
          <c:y val="0.18375"/>
          <c:w val="0.94075"/>
          <c:h val="0.8395"/>
        </c:manualLayout>
      </c:layout>
      <c:lineChart>
        <c:grouping val="standard"/>
        <c:varyColors val="0"/>
        <c:ser>
          <c:idx val="0"/>
          <c:order val="0"/>
          <c:tx>
            <c:strRef>
              <c:f>'Corte Appello'!$A$119</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Appello'!$B$119:$F$119</c:f>
              <c:numCache/>
            </c:numRef>
          </c:val>
          <c:smooth val="0"/>
        </c:ser>
        <c:ser>
          <c:idx val="1"/>
          <c:order val="1"/>
          <c:tx>
            <c:strRef>
              <c:f>'Corte Appello'!$A$120</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Appello'!$B$120:$F$120</c:f>
              <c:numCache/>
            </c:numRef>
          </c:val>
          <c:smooth val="0"/>
        </c:ser>
        <c:ser>
          <c:idx val="2"/>
          <c:order val="2"/>
          <c:tx>
            <c:strRef>
              <c:f>'Corte Appello'!$A$121</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Appello'!$B$121:$F$121</c:f>
              <c:numCache/>
            </c:numRef>
          </c:val>
          <c:smooth val="0"/>
        </c:ser>
        <c:marker val="1"/>
        <c:axId val="48290088"/>
        <c:axId val="31957609"/>
      </c:lineChart>
      <c:catAx>
        <c:axId val="48290088"/>
        <c:scaling>
          <c:orientation val="minMax"/>
        </c:scaling>
        <c:axPos val="b"/>
        <c:delete val="0"/>
        <c:numFmt formatCode="General" sourceLinked="1"/>
        <c:majorTickMark val="none"/>
        <c:minorTickMark val="none"/>
        <c:tickLblPos val="nextTo"/>
        <c:spPr>
          <a:ln w="3175">
            <a:solidFill>
              <a:srgbClr val="808080"/>
            </a:solidFill>
          </a:ln>
        </c:spPr>
        <c:crossAx val="31957609"/>
        <c:crosses val="autoZero"/>
        <c:auto val="1"/>
        <c:lblOffset val="100"/>
        <c:tickLblSkip val="1"/>
        <c:noMultiLvlLbl val="0"/>
      </c:catAx>
      <c:valAx>
        <c:axId val="319576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8290088"/>
        <c:crossesAt val="1"/>
        <c:crossBetween val="between"/>
        <c:dispUnits/>
      </c:valAx>
      <c:spPr>
        <a:solidFill>
          <a:srgbClr val="FFFFFF"/>
        </a:solidFill>
        <a:ln w="3175">
          <a:noFill/>
        </a:ln>
      </c:spPr>
    </c:plotArea>
    <c:legend>
      <c:legendPos val="b"/>
      <c:layout>
        <c:manualLayout>
          <c:xMode val="edge"/>
          <c:yMode val="edge"/>
          <c:x val="0.27375"/>
          <c:y val="0.118"/>
          <c:w val="0.448"/>
          <c:h val="0.056"/>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Andamento dei Procedimenti di Lavoro e Previdenza nell'ultimo quinquennio presso la Corte di Appello</a:t>
            </a:r>
          </a:p>
        </c:rich>
      </c:tx>
      <c:layout>
        <c:manualLayout>
          <c:xMode val="factor"/>
          <c:yMode val="factor"/>
          <c:x val="-0.0015"/>
          <c:y val="-0.01175"/>
        </c:manualLayout>
      </c:layout>
      <c:spPr>
        <a:noFill/>
        <a:ln w="3175">
          <a:noFill/>
        </a:ln>
      </c:spPr>
    </c:title>
    <c:plotArea>
      <c:layout>
        <c:manualLayout>
          <c:xMode val="edge"/>
          <c:yMode val="edge"/>
          <c:x val="0.021"/>
          <c:y val="0.1015"/>
          <c:w val="0.98275"/>
          <c:h val="0.79625"/>
        </c:manualLayout>
      </c:layout>
      <c:lineChart>
        <c:grouping val="standard"/>
        <c:varyColors val="0"/>
        <c:ser>
          <c:idx val="0"/>
          <c:order val="0"/>
          <c:tx>
            <c:strRef>
              <c:f>'Corte Appello'!$A$132</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Appello'!$B$132:$F$132</c:f>
              <c:numCache/>
            </c:numRef>
          </c:val>
          <c:smooth val="0"/>
        </c:ser>
        <c:ser>
          <c:idx val="1"/>
          <c:order val="1"/>
          <c:tx>
            <c:strRef>
              <c:f>'Corte Appello'!$A$133</c:f>
              <c:strCache>
                <c:ptCount val="1"/>
                <c:pt idx="0">
                  <c:v>Definiti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Appello'!$B$133:$F$133</c:f>
              <c:numCache/>
            </c:numRef>
          </c:val>
          <c:smooth val="0"/>
        </c:ser>
        <c:ser>
          <c:idx val="2"/>
          <c:order val="2"/>
          <c:tx>
            <c:strRef>
              <c:f>'Corte Appello'!$A$134</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Appello'!$B$134:$F$134</c:f>
              <c:numCache/>
            </c:numRef>
          </c:val>
          <c:smooth val="0"/>
        </c:ser>
        <c:marker val="1"/>
        <c:axId val="19183026"/>
        <c:axId val="38429507"/>
      </c:lineChart>
      <c:catAx>
        <c:axId val="19183026"/>
        <c:scaling>
          <c:orientation val="minMax"/>
        </c:scaling>
        <c:axPos val="b"/>
        <c:delete val="0"/>
        <c:numFmt formatCode="General" sourceLinked="1"/>
        <c:majorTickMark val="none"/>
        <c:minorTickMark val="none"/>
        <c:tickLblPos val="nextTo"/>
        <c:spPr>
          <a:ln w="3175">
            <a:solidFill>
              <a:srgbClr val="808080"/>
            </a:solidFill>
          </a:ln>
        </c:spPr>
        <c:crossAx val="38429507"/>
        <c:crosses val="autoZero"/>
        <c:auto val="1"/>
        <c:lblOffset val="100"/>
        <c:tickLblSkip val="1"/>
        <c:noMultiLvlLbl val="0"/>
      </c:catAx>
      <c:valAx>
        <c:axId val="384295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183026"/>
        <c:crossesAt val="1"/>
        <c:crossBetween val="between"/>
        <c:dispUnits/>
      </c:valAx>
      <c:spPr>
        <a:solidFill>
          <a:srgbClr val="FFFFFF"/>
        </a:solidFill>
        <a:ln w="3175">
          <a:noFill/>
        </a:ln>
      </c:spPr>
    </c:plotArea>
    <c:legend>
      <c:legendPos val="b"/>
      <c:layout>
        <c:manualLayout>
          <c:xMode val="edge"/>
          <c:yMode val="edge"/>
          <c:x val="0.28175"/>
          <c:y val="0.92925"/>
          <c:w val="0.4335"/>
          <c:h val="0.056"/>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Procedimenti civili pendenti in Corte d'Appello al 30 giugno 2012</a:t>
            </a:r>
          </a:p>
        </c:rich>
      </c:tx>
      <c:layout>
        <c:manualLayout>
          <c:xMode val="factor"/>
          <c:yMode val="factor"/>
          <c:x val="-0.09825"/>
          <c:y val="-0.00625"/>
        </c:manualLayout>
      </c:layout>
      <c:spPr>
        <a:noFill/>
        <a:ln w="3175">
          <a:noFill/>
        </a:ln>
      </c:spPr>
    </c:title>
    <c:view3D>
      <c:rotX val="30"/>
      <c:hPercent val="100"/>
      <c:rotY val="0"/>
      <c:depthPercent val="100"/>
      <c:rAngAx val="1"/>
    </c:view3D>
    <c:plotArea>
      <c:layout>
        <c:manualLayout>
          <c:xMode val="edge"/>
          <c:yMode val="edge"/>
          <c:x val="0.27625"/>
          <c:y val="0.522"/>
          <c:w val="0.3645"/>
          <c:h val="0.338"/>
        </c:manualLayout>
      </c:layout>
      <c:pie3D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8C3836"/>
              </a:solidFill>
              <a:ln w="3175">
                <a:noFill/>
              </a:ln>
            </c:spPr>
          </c:dPt>
          <c:dPt>
            <c:idx val="2"/>
            <c:spPr>
              <a:solidFill>
                <a:srgbClr val="71893F"/>
              </a:solidFill>
              <a:ln w="3175">
                <a:noFill/>
              </a:ln>
            </c:spPr>
          </c:dPt>
          <c:dPt>
            <c:idx val="3"/>
            <c:spPr>
              <a:solidFill>
                <a:srgbClr val="5C4776"/>
              </a:solidFill>
              <a:ln w="3175">
                <a:noFill/>
              </a:ln>
            </c:spPr>
          </c:dPt>
          <c:dPt>
            <c:idx val="4"/>
            <c:spPr>
              <a:solidFill>
                <a:srgbClr val="357D91"/>
              </a:solidFill>
              <a:ln w="3175">
                <a:noFill/>
              </a:ln>
            </c:spPr>
          </c:dPt>
          <c:dPt>
            <c:idx val="5"/>
            <c:spPr>
              <a:solidFill>
                <a:srgbClr val="B66D31"/>
              </a:solidFill>
              <a:ln w="3175">
                <a:noFill/>
              </a:ln>
            </c:spPr>
          </c:dPt>
          <c:dPt>
            <c:idx val="6"/>
            <c:spPr>
              <a:solidFill>
                <a:srgbClr val="426DA1"/>
              </a:solidFill>
              <a:ln w="3175">
                <a:noFill/>
              </a:ln>
            </c:spPr>
          </c:dPt>
          <c:dPt>
            <c:idx val="7"/>
            <c:spPr>
              <a:solidFill>
                <a:srgbClr val="A44340"/>
              </a:solidFill>
              <a:ln w="3175">
                <a:noFill/>
              </a:ln>
            </c:spPr>
          </c:dPt>
          <c:dPt>
            <c:idx val="8"/>
            <c:spPr>
              <a:solidFill>
                <a:srgbClr val="849F4B"/>
              </a:solidFill>
              <a:ln w="3175">
                <a:noFill/>
              </a:ln>
            </c:spPr>
          </c:dPt>
          <c:dPt>
            <c:idx val="9"/>
            <c:spPr>
              <a:solidFill>
                <a:srgbClr val="6C548A"/>
              </a:solidFill>
              <a:ln w="3175">
                <a:noFill/>
              </a:ln>
            </c:spPr>
          </c:dPt>
          <c:dPt>
            <c:idx val="10"/>
            <c:spPr>
              <a:solidFill>
                <a:srgbClr val="3F92A9"/>
              </a:solidFill>
              <a:ln w="3175">
                <a:noFill/>
              </a:ln>
            </c:spPr>
          </c:dPt>
          <c:dPt>
            <c:idx val="11"/>
            <c:spPr>
              <a:solidFill>
                <a:srgbClr val="D37F3A"/>
              </a:solidFill>
              <a:ln w="3175">
                <a:noFill/>
              </a:ln>
            </c:spPr>
          </c:dPt>
          <c:dPt>
            <c:idx val="12"/>
            <c:spPr>
              <a:solidFill>
                <a:srgbClr val="4B7BB4"/>
              </a:solidFill>
              <a:ln w="3175">
                <a:noFill/>
              </a:ln>
            </c:spPr>
          </c:dPt>
          <c:dPt>
            <c:idx val="13"/>
            <c:spPr>
              <a:solidFill>
                <a:srgbClr val="B74C49"/>
              </a:solidFill>
              <a:ln w="3175">
                <a:noFill/>
              </a:ln>
            </c:spPr>
          </c:dPt>
          <c:dPt>
            <c:idx val="14"/>
            <c:spPr>
              <a:solidFill>
                <a:srgbClr val="94B255"/>
              </a:solidFill>
              <a:ln w="3175">
                <a:noFill/>
              </a:ln>
            </c:spPr>
          </c:dPt>
          <c:dPt>
            <c:idx val="15"/>
            <c:spPr>
              <a:solidFill>
                <a:srgbClr val="7A5F9A"/>
              </a:solidFill>
              <a:ln w="3175">
                <a:noFill/>
              </a:ln>
            </c:spPr>
          </c:dPt>
          <c:dPt>
            <c:idx val="16"/>
            <c:spPr>
              <a:solidFill>
                <a:srgbClr val="47A4BD"/>
              </a:solidFill>
              <a:ln w="3175">
                <a:noFill/>
              </a:ln>
            </c:spPr>
          </c:dPt>
          <c:dPt>
            <c:idx val="17"/>
            <c:spPr>
              <a:solidFill>
                <a:srgbClr val="EC8F42"/>
              </a:solidFill>
              <a:ln w="3175">
                <a:noFill/>
              </a:ln>
            </c:spPr>
          </c:dPt>
          <c:dPt>
            <c:idx val="18"/>
            <c:spPr>
              <a:solidFill>
                <a:srgbClr val="7394C5"/>
              </a:solidFill>
              <a:ln w="3175">
                <a:noFill/>
              </a:ln>
            </c:spPr>
          </c:dPt>
          <c:dPt>
            <c:idx val="19"/>
            <c:spPr>
              <a:solidFill>
                <a:srgbClr val="C87372"/>
              </a:solidFill>
              <a:ln w="3175">
                <a:noFill/>
              </a:ln>
            </c:spPr>
          </c:dPt>
          <c:dPt>
            <c:idx val="20"/>
            <c:spPr>
              <a:solidFill>
                <a:srgbClr val="A9C379"/>
              </a:solidFill>
              <a:ln w="3175">
                <a:noFill/>
              </a:ln>
            </c:spPr>
          </c:dPt>
          <c:dPt>
            <c:idx val="21"/>
            <c:spPr>
              <a:solidFill>
                <a:srgbClr val="9480AE"/>
              </a:solidFill>
              <a:ln w="3175">
                <a:noFill/>
              </a:ln>
            </c:spPr>
          </c:dPt>
          <c:dPt>
            <c:idx val="22"/>
            <c:spPr>
              <a:solidFill>
                <a:srgbClr val="70B7CD"/>
              </a:solidFill>
              <a:ln w="3175">
                <a:noFill/>
              </a:ln>
            </c:spPr>
          </c:dPt>
          <c:dPt>
            <c:idx val="23"/>
            <c:spPr>
              <a:solidFill>
                <a:srgbClr val="F8A56E"/>
              </a:solidFill>
              <a:ln w="3175">
                <a:noFill/>
              </a:ln>
            </c:spPr>
          </c:dPt>
          <c:dPt>
            <c:idx val="24"/>
            <c:spPr>
              <a:solidFill>
                <a:srgbClr val="A1B4D4"/>
              </a:solidFill>
              <a:ln w="3175">
                <a:noFill/>
              </a:ln>
            </c:spPr>
          </c:dPt>
          <c:dPt>
            <c:idx val="25"/>
            <c:spPr>
              <a:solidFill>
                <a:srgbClr val="D6A1A0"/>
              </a:solidFill>
              <a:ln w="3175">
                <a:noFill/>
              </a:ln>
            </c:spPr>
          </c:dPt>
          <c:dPt>
            <c:idx val="26"/>
            <c:spPr>
              <a:solidFill>
                <a:srgbClr val="C0D2A4"/>
              </a:solidFill>
              <a:ln w="3175">
                <a:noFill/>
              </a:ln>
            </c:spPr>
          </c:dPt>
          <c:dPt>
            <c:idx val="27"/>
            <c:spPr>
              <a:solidFill>
                <a:srgbClr val="B3A8C4"/>
              </a:solidFill>
              <a:ln w="3175">
                <a:noFill/>
              </a:ln>
            </c:spPr>
          </c:dPt>
          <c:dPt>
            <c:idx val="28"/>
            <c:spPr>
              <a:solidFill>
                <a:srgbClr val="A0CAD9"/>
              </a:solidFill>
              <a:ln w="3175">
                <a:noFill/>
              </a:ln>
            </c:spPr>
          </c:dPt>
          <c:dPt>
            <c:idx val="29"/>
            <c:spPr>
              <a:solidFill>
                <a:srgbClr val="F9BE9E"/>
              </a:solidFill>
              <a:ln w="3175">
                <a:noFill/>
              </a:ln>
            </c:spPr>
          </c:dPt>
          <c:dPt>
            <c:idx val="30"/>
            <c:spPr>
              <a:solidFill>
                <a:srgbClr val="C2CDE1"/>
              </a:solidFill>
              <a:ln w="3175">
                <a:noFill/>
              </a:ln>
            </c:spPr>
          </c:dPt>
          <c:dPt>
            <c:idx val="31"/>
            <c:spPr>
              <a:solidFill>
                <a:srgbClr val="E2C2C2"/>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'[1]Corte Appello'!$A$49:$A$80</c:f>
              <c:strCache>
                <c:ptCount val="32"/>
                <c:pt idx="0">
                  <c:v>Delibazioni ai sensi dell'art.8 L.121/85</c:v>
                </c:pt>
                <c:pt idx="1">
                  <c:v>Delibazioni ai sensi dell'art.67 L.218/95</c:v>
                </c:pt>
                <c:pt idx="2">
                  <c:v>Esecutorietà lodi arbitrali stranieri art.839 c.p.c.</c:v>
                </c:pt>
                <c:pt idx="3">
                  <c:v>Impugnazione lodi arbitrali nazionali art.828 c.p.c.</c:v>
                </c:pt>
                <c:pt idx="4">
                  <c:v>Procedimenti relativi al Tribunale delle acque pubbliche</c:v>
                </c:pt>
                <c:pt idx="5">
                  <c:v>Controversie elettorali (elettorato attivo)</c:v>
                </c:pt>
                <c:pt idx="6">
                  <c:v>Altri procedimenti contenziosi</c:v>
                </c:pt>
                <c:pt idx="7">
                  <c:v>Delibazioni ai sensi dell'art.8 L.121/85</c:v>
                </c:pt>
                <c:pt idx="8">
                  <c:v>Delibazioni ai sensi dell'art.67 L.218/95</c:v>
                </c:pt>
                <c:pt idx="9">
                  <c:v>Esecutorietà lodi arbitrali stranieri art.839 c.p.c.</c:v>
                </c:pt>
                <c:pt idx="10">
                  <c:v>Equa riparazione per violazione del termine ragionevole del processo</c:v>
                </c:pt>
                <c:pt idx="11">
                  <c:v>Altri procedimenti VG</c:v>
                </c:pt>
                <c:pt idx="12">
                  <c:v>Totale Primo grado</c:v>
                </c:pt>
                <c:pt idx="13">
                  <c:v>Cognizione ordinaria</c:v>
                </c:pt>
                <c:pt idx="14">
                  <c:v>Procedimenti relativi agli usi civici</c:v>
                </c:pt>
                <c:pt idx="15">
                  <c:v>Controversie agrarie</c:v>
                </c:pt>
                <c:pt idx="16">
                  <c:v>Controversie elettorali (elettorato passivo)</c:v>
                </c:pt>
                <c:pt idx="17">
                  <c:v>Controversie in materia di lavoro - pubblico impiego</c:v>
                </c:pt>
                <c:pt idx="18">
                  <c:v>Altre controversie in materia di lavoro</c:v>
                </c:pt>
                <c:pt idx="19">
                  <c:v>Controversie in materia di previdenza ed assistenza</c:v>
                </c:pt>
                <c:pt idx="20">
                  <c:v>Procedimenti in materia di separazione dei coniugi cont.</c:v>
                </c:pt>
                <c:pt idx="21">
                  <c:v>Procedimenti in materia di divorzio cont.</c:v>
                </c:pt>
                <c:pt idx="22">
                  <c:v>Procedimenti in materia minorile cont.</c:v>
                </c:pt>
                <c:pt idx="23">
                  <c:v>Procedimenti in materia di proprietà industriale ed intellettuale</c:v>
                </c:pt>
                <c:pt idx="24">
                  <c:v>Procedimenti in materia di diritto societario - rito ordinario</c:v>
                </c:pt>
                <c:pt idx="25">
                  <c:v>Altri procedimenti contenziosi</c:v>
                </c:pt>
                <c:pt idx="26">
                  <c:v>Procedimenti non contenziosi (VG)</c:v>
                </c:pt>
                <c:pt idx="27">
                  <c:v>Procedimenti in materia di separazione dei coniugi VG</c:v>
                </c:pt>
                <c:pt idx="28">
                  <c:v>Procedimenti in materia di Divorzio VG</c:v>
                </c:pt>
                <c:pt idx="29">
                  <c:v>Procedimenti in materia minorile VG</c:v>
                </c:pt>
                <c:pt idx="30">
                  <c:v>Procedimenti in materia di diritto societario - rito camerale</c:v>
                </c:pt>
                <c:pt idx="31">
                  <c:v>Altri procedimenti VG</c:v>
                </c:pt>
              </c:strCache>
            </c:strRef>
          </c:cat>
          <c:val>
            <c:numRef>
              <c:f>'[1]Corte Appello'!$E$49:$E$80</c:f>
              <c:numCache>
                <c:ptCount val="32"/>
                <c:pt idx="0">
                  <c:v>5</c:v>
                </c:pt>
                <c:pt idx="1">
                  <c:v>1</c:v>
                </c:pt>
                <c:pt idx="2">
                  <c:v>0</c:v>
                </c:pt>
                <c:pt idx="3">
                  <c:v>32</c:v>
                </c:pt>
                <c:pt idx="4">
                  <c:v>0</c:v>
                </c:pt>
                <c:pt idx="5">
                  <c:v>0</c:v>
                </c:pt>
                <c:pt idx="6">
                  <c:v>233</c:v>
                </c:pt>
                <c:pt idx="7">
                  <c:v>1</c:v>
                </c:pt>
                <c:pt idx="8">
                  <c:v>3</c:v>
                </c:pt>
                <c:pt idx="9">
                  <c:v>0</c:v>
                </c:pt>
                <c:pt idx="10">
                  <c:v>147</c:v>
                </c:pt>
                <c:pt idx="11">
                  <c:v>12</c:v>
                </c:pt>
                <c:pt idx="12">
                  <c:v>434</c:v>
                </c:pt>
                <c:pt idx="13">
                  <c:v>8757</c:v>
                </c:pt>
                <c:pt idx="14">
                  <c:v>0</c:v>
                </c:pt>
                <c:pt idx="15">
                  <c:v>22</c:v>
                </c:pt>
                <c:pt idx="16">
                  <c:v>0</c:v>
                </c:pt>
                <c:pt idx="17">
                  <c:v>783</c:v>
                </c:pt>
                <c:pt idx="18">
                  <c:v>1904</c:v>
                </c:pt>
                <c:pt idx="19">
                  <c:v>2483</c:v>
                </c:pt>
                <c:pt idx="20">
                  <c:v>112</c:v>
                </c:pt>
                <c:pt idx="21">
                  <c:v>68</c:v>
                </c:pt>
                <c:pt idx="22">
                  <c:v>3</c:v>
                </c:pt>
                <c:pt idx="23">
                  <c:v>26</c:v>
                </c:pt>
                <c:pt idx="24">
                  <c:v>4</c:v>
                </c:pt>
                <c:pt idx="25">
                  <c:v>60</c:v>
                </c:pt>
                <c:pt idx="26">
                  <c:v>0</c:v>
                </c:pt>
                <c:pt idx="27">
                  <c:v>34</c:v>
                </c:pt>
                <c:pt idx="28">
                  <c:v>27</c:v>
                </c:pt>
                <c:pt idx="29">
                  <c:v>39</c:v>
                </c:pt>
                <c:pt idx="30">
                  <c:v>0</c:v>
                </c:pt>
                <c:pt idx="31">
                  <c:v>288</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di Cognizione  Ordinaria nell'ultimo quinquennio presso Tribunali e Sezioni distaccate</a:t>
            </a:r>
          </a:p>
        </c:rich>
      </c:tx>
      <c:layout>
        <c:manualLayout>
          <c:xMode val="factor"/>
          <c:yMode val="factor"/>
          <c:x val="-0.002"/>
          <c:y val="-0.01"/>
        </c:manualLayout>
      </c:layout>
      <c:spPr>
        <a:noFill/>
        <a:ln w="3175">
          <a:noFill/>
        </a:ln>
      </c:spPr>
    </c:title>
    <c:plotArea>
      <c:layout>
        <c:manualLayout>
          <c:xMode val="edge"/>
          <c:yMode val="edge"/>
          <c:x val="0.00575"/>
          <c:y val="0.11975"/>
          <c:w val="0.971"/>
          <c:h val="0.778"/>
        </c:manualLayout>
      </c:layout>
      <c:lineChart>
        <c:grouping val="standard"/>
        <c:varyColors val="0"/>
        <c:ser>
          <c:idx val="0"/>
          <c:order val="0"/>
          <c:tx>
            <c:strRef>
              <c:f>'Gafici andamento materie'!$A$50</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materie'!$B$49:$F$49</c:f>
              <c:strCache/>
            </c:strRef>
          </c:cat>
          <c:val>
            <c:numRef>
              <c:f>'Gafici andamento materie'!$B$50:$F$50</c:f>
              <c:numCache/>
            </c:numRef>
          </c:val>
          <c:smooth val="0"/>
        </c:ser>
        <c:ser>
          <c:idx val="1"/>
          <c:order val="1"/>
          <c:tx>
            <c:strRef>
              <c:f>'Gafici andamento materie'!$A$51</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materie'!$B$49:$F$49</c:f>
              <c:strCache/>
            </c:strRef>
          </c:cat>
          <c:val>
            <c:numRef>
              <c:f>'Gafici andamento materie'!$B$51:$F$51</c:f>
              <c:numCache/>
            </c:numRef>
          </c:val>
          <c:smooth val="0"/>
        </c:ser>
        <c:ser>
          <c:idx val="2"/>
          <c:order val="2"/>
          <c:tx>
            <c:strRef>
              <c:f>'Gafici andamento materie'!$A$52</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materie'!$B$49:$F$49</c:f>
              <c:strCache/>
            </c:strRef>
          </c:cat>
          <c:val>
            <c:numRef>
              <c:f>'Gafici andamento materie'!$B$52:$F$52</c:f>
              <c:numCache/>
            </c:numRef>
          </c:val>
          <c:smooth val="0"/>
        </c:ser>
        <c:marker val="1"/>
        <c:axId val="7983482"/>
        <c:axId val="4742475"/>
      </c:lineChart>
      <c:catAx>
        <c:axId val="7983482"/>
        <c:scaling>
          <c:orientation val="minMax"/>
        </c:scaling>
        <c:axPos val="b"/>
        <c:delete val="0"/>
        <c:numFmt formatCode="General" sourceLinked="1"/>
        <c:majorTickMark val="none"/>
        <c:minorTickMark val="none"/>
        <c:tickLblPos val="nextTo"/>
        <c:spPr>
          <a:ln w="3175">
            <a:solidFill>
              <a:srgbClr val="808080"/>
            </a:solidFill>
          </a:ln>
        </c:spPr>
        <c:crossAx val="4742475"/>
        <c:crosses val="autoZero"/>
        <c:auto val="1"/>
        <c:lblOffset val="100"/>
        <c:tickLblSkip val="1"/>
        <c:noMultiLvlLbl val="0"/>
      </c:catAx>
      <c:valAx>
        <c:axId val="47424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7983482"/>
        <c:crossesAt val="1"/>
        <c:crossBetween val="between"/>
        <c:dispUnits/>
      </c:valAx>
      <c:spPr>
        <a:solidFill>
          <a:srgbClr val="FFFFFF"/>
        </a:solidFill>
        <a:ln w="3175">
          <a:noFill/>
        </a:ln>
      </c:spPr>
    </c:plotArea>
    <c:legend>
      <c:legendPos val="b"/>
      <c:layout>
        <c:manualLayout>
          <c:xMode val="edge"/>
          <c:yMode val="edge"/>
          <c:x val="0.14425"/>
          <c:y val="0.9095"/>
          <c:w val="0.705"/>
          <c:h val="0.07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25"/>
          <c:y val="0.0205"/>
          <c:w val="0.995"/>
          <c:h val="0.979"/>
        </c:manualLayout>
      </c:layout>
      <c:barChart>
        <c:barDir val="bar"/>
        <c:grouping val="clustered"/>
        <c:varyColors val="0"/>
        <c:ser>
          <c:idx val="0"/>
          <c:order val="0"/>
          <c:tx>
            <c:strRef>
              <c:f>'[2]tab. 1.2'!$B$5</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'[2]tab. 1.2'!$A$6:$A$20</c:f>
              <c:strCache>
                <c:ptCount val="15"/>
                <c:pt idx="0">
                  <c:v>Contratti bancari</c:v>
                </c:pt>
                <c:pt idx="1">
                  <c:v>Diritti reali</c:v>
                </c:pt>
                <c:pt idx="2">
                  <c:v>Altra natura</c:v>
                </c:pt>
                <c:pt idx="3">
                  <c:v>Locazione</c:v>
                </c:pt>
                <c:pt idx="4">
                  <c:v>Divisione</c:v>
                </c:pt>
                <c:pt idx="5">
                  <c:v>Risarcimento danni da responsabilità medica</c:v>
                </c:pt>
                <c:pt idx="6">
                  <c:v>Condominio</c:v>
                </c:pt>
                <c:pt idx="7">
                  <c:v>Contratti assicurativi</c:v>
                </c:pt>
                <c:pt idx="8">
                  <c:v>Successioni ereditarie</c:v>
                </c:pt>
                <c:pt idx="9">
                  <c:v>Contratti finanziari</c:v>
                </c:pt>
                <c:pt idx="10">
                  <c:v>Comodato</c:v>
                </c:pt>
                <c:pt idx="11">
                  <c:v>Affitto di aziende</c:v>
                </c:pt>
                <c:pt idx="12">
                  <c:v>Risarcimento danni da diffamazione a mezzo stampa</c:v>
                </c:pt>
                <c:pt idx="13">
                  <c:v>Patti di famiglia</c:v>
                </c:pt>
                <c:pt idx="14">
                  <c:v>Risarcimento danni da circolazione veicoli e natanti</c:v>
                </c:pt>
              </c:strCache>
            </c:strRef>
          </c:cat>
          <c:val>
            <c:numRef>
              <c:f>'[2]tab. 1.2'!$B$6:$B$20</c:f>
              <c:numCache>
                <c:ptCount val="15"/>
                <c:pt idx="0">
                  <c:v>212</c:v>
                </c:pt>
                <c:pt idx="1">
                  <c:v>127</c:v>
                </c:pt>
                <c:pt idx="2">
                  <c:v>114</c:v>
                </c:pt>
                <c:pt idx="3">
                  <c:v>76</c:v>
                </c:pt>
                <c:pt idx="4">
                  <c:v>62</c:v>
                </c:pt>
                <c:pt idx="5">
                  <c:v>57</c:v>
                </c:pt>
                <c:pt idx="6">
                  <c:v>51</c:v>
                </c:pt>
                <c:pt idx="7">
                  <c:v>29</c:v>
                </c:pt>
                <c:pt idx="8">
                  <c:v>27</c:v>
                </c:pt>
                <c:pt idx="9">
                  <c:v>13</c:v>
                </c:pt>
                <c:pt idx="10">
                  <c:v>10</c:v>
                </c:pt>
                <c:pt idx="11">
                  <c:v>5</c:v>
                </c:pt>
                <c:pt idx="12">
                  <c:v>4</c:v>
                </c:pt>
                <c:pt idx="13">
                  <c:v>2</c:v>
                </c:pt>
                <c:pt idx="14">
                  <c:v>0</c:v>
                </c:pt>
              </c:numCache>
            </c:numRef>
          </c:val>
        </c:ser>
        <c:axId val="10321244"/>
        <c:axId val="25782333"/>
      </c:barChart>
      <c:catAx>
        <c:axId val="1032124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5782333"/>
        <c:crosses val="autoZero"/>
        <c:auto val="1"/>
        <c:lblOffset val="100"/>
        <c:tickLblSkip val="1"/>
        <c:noMultiLvlLbl val="0"/>
      </c:catAx>
      <c:valAx>
        <c:axId val="257823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212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in materia di Lavoro nell'iltimo quinquennio presso i Tribunali  del distretto di Catania</a:t>
            </a:r>
          </a:p>
        </c:rich>
      </c:tx>
      <c:layout>
        <c:manualLayout>
          <c:xMode val="factor"/>
          <c:yMode val="factor"/>
          <c:x val="-0.00175"/>
          <c:y val="-0.00825"/>
        </c:manualLayout>
      </c:layout>
      <c:spPr>
        <a:noFill/>
        <a:ln w="3175">
          <a:noFill/>
        </a:ln>
      </c:spPr>
    </c:title>
    <c:plotArea>
      <c:layout>
        <c:manualLayout>
          <c:xMode val="edge"/>
          <c:yMode val="edge"/>
          <c:x val="0.00475"/>
          <c:y val="0.148"/>
          <c:w val="0.9745"/>
          <c:h val="0.72925"/>
        </c:manualLayout>
      </c:layout>
      <c:lineChart>
        <c:grouping val="standard"/>
        <c:varyColors val="0"/>
        <c:ser>
          <c:idx val="0"/>
          <c:order val="0"/>
          <c:tx>
            <c:strRef>
              <c:f>'Gafici andamento materie'!$A$92</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materie'!$B$91:$F$91</c:f>
              <c:strCache/>
            </c:strRef>
          </c:cat>
          <c:val>
            <c:numRef>
              <c:f>'Gafici andamento materie'!$B$92:$F$92</c:f>
              <c:numCache/>
            </c:numRef>
          </c:val>
          <c:smooth val="0"/>
        </c:ser>
        <c:ser>
          <c:idx val="1"/>
          <c:order val="1"/>
          <c:tx>
            <c:strRef>
              <c:f>'Gafici andamento materie'!$A$93</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materie'!$B$91:$F$91</c:f>
              <c:strCache/>
            </c:strRef>
          </c:cat>
          <c:val>
            <c:numRef>
              <c:f>'Gafici andamento materie'!$B$93:$F$93</c:f>
              <c:numCache/>
            </c:numRef>
          </c:val>
          <c:smooth val="0"/>
        </c:ser>
        <c:ser>
          <c:idx val="2"/>
          <c:order val="2"/>
          <c:tx>
            <c:strRef>
              <c:f>'Gafici andamento materie'!$A$94</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materie'!$B$91:$F$91</c:f>
              <c:strCache/>
            </c:strRef>
          </c:cat>
          <c:val>
            <c:numRef>
              <c:f>'Gafici andamento materie'!$B$94:$F$94</c:f>
              <c:numCache/>
            </c:numRef>
          </c:val>
          <c:smooth val="0"/>
        </c:ser>
        <c:marker val="1"/>
        <c:axId val="42682276"/>
        <c:axId val="48596165"/>
      </c:lineChart>
      <c:catAx>
        <c:axId val="42682276"/>
        <c:scaling>
          <c:orientation val="minMax"/>
        </c:scaling>
        <c:axPos val="b"/>
        <c:delete val="0"/>
        <c:numFmt formatCode="General" sourceLinked="1"/>
        <c:majorTickMark val="none"/>
        <c:minorTickMark val="none"/>
        <c:tickLblPos val="nextTo"/>
        <c:spPr>
          <a:ln w="3175">
            <a:solidFill>
              <a:srgbClr val="808080"/>
            </a:solidFill>
          </a:ln>
        </c:spPr>
        <c:crossAx val="48596165"/>
        <c:crosses val="autoZero"/>
        <c:auto val="1"/>
        <c:lblOffset val="100"/>
        <c:tickLblSkip val="1"/>
        <c:noMultiLvlLbl val="0"/>
      </c:catAx>
      <c:valAx>
        <c:axId val="485961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682276"/>
        <c:crossesAt val="1"/>
        <c:crossBetween val="between"/>
        <c:dispUnits/>
      </c:valAx>
      <c:spPr>
        <a:solidFill>
          <a:srgbClr val="FFFFFF"/>
        </a:solidFill>
        <a:ln w="3175">
          <a:noFill/>
        </a:ln>
      </c:spPr>
    </c:plotArea>
    <c:legend>
      <c:legendPos val="b"/>
      <c:layout>
        <c:manualLayout>
          <c:xMode val="edge"/>
          <c:yMode val="edge"/>
          <c:x val="0.1895"/>
          <c:y val="0.888"/>
          <c:w val="0.617"/>
          <c:h val="0.08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priocedimenti in materia di Previdenza e Assistenza Obbligatoria nell'ultimo quinquennio presso i Tribunali del distretto di Catania</a:t>
            </a:r>
          </a:p>
        </c:rich>
      </c:tx>
      <c:layout>
        <c:manualLayout>
          <c:xMode val="factor"/>
          <c:yMode val="factor"/>
          <c:x val="-0.00175"/>
          <c:y val="-0.0045"/>
        </c:manualLayout>
      </c:layout>
      <c:spPr>
        <a:noFill/>
        <a:ln w="3175">
          <a:noFill/>
        </a:ln>
      </c:spPr>
    </c:title>
    <c:plotArea>
      <c:layout>
        <c:manualLayout>
          <c:xMode val="edge"/>
          <c:yMode val="edge"/>
          <c:x val="0.00425"/>
          <c:y val="0.1645"/>
          <c:w val="0.97725"/>
          <c:h val="0.69925"/>
        </c:manualLayout>
      </c:layout>
      <c:lineChart>
        <c:grouping val="standard"/>
        <c:varyColors val="0"/>
        <c:ser>
          <c:idx val="0"/>
          <c:order val="0"/>
          <c:tx>
            <c:strRef>
              <c:f>'Gafici andamento materie'!$A$129</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materie'!$B$128:$F$128</c:f>
              <c:strCache/>
            </c:strRef>
          </c:cat>
          <c:val>
            <c:numRef>
              <c:f>'Gafici andamento materie'!$B$129:$F$129</c:f>
              <c:numCache/>
            </c:numRef>
          </c:val>
          <c:smooth val="0"/>
        </c:ser>
        <c:ser>
          <c:idx val="1"/>
          <c:order val="1"/>
          <c:tx>
            <c:strRef>
              <c:f>'Gafici andamento materie'!$A$130</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materie'!$B$128:$F$128</c:f>
              <c:strCache/>
            </c:strRef>
          </c:cat>
          <c:val>
            <c:numRef>
              <c:f>'Gafici andamento materie'!$B$130:$F$130</c:f>
              <c:numCache/>
            </c:numRef>
          </c:val>
          <c:smooth val="0"/>
        </c:ser>
        <c:ser>
          <c:idx val="2"/>
          <c:order val="2"/>
          <c:tx>
            <c:strRef>
              <c:f>'Gafici andamento materie'!$A$131</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materie'!$B$128:$F$128</c:f>
              <c:strCache/>
            </c:strRef>
          </c:cat>
          <c:val>
            <c:numRef>
              <c:f>'Gafici andamento materie'!$B$131:$F$131</c:f>
              <c:numCache/>
            </c:numRef>
          </c:val>
          <c:smooth val="0"/>
        </c:ser>
        <c:marker val="1"/>
        <c:axId val="34712302"/>
        <c:axId val="43975263"/>
      </c:lineChart>
      <c:catAx>
        <c:axId val="34712302"/>
        <c:scaling>
          <c:orientation val="minMax"/>
        </c:scaling>
        <c:axPos val="b"/>
        <c:delete val="0"/>
        <c:numFmt formatCode="General" sourceLinked="1"/>
        <c:majorTickMark val="none"/>
        <c:minorTickMark val="none"/>
        <c:tickLblPos val="nextTo"/>
        <c:spPr>
          <a:ln w="3175">
            <a:solidFill>
              <a:srgbClr val="808080"/>
            </a:solidFill>
          </a:ln>
        </c:spPr>
        <c:crossAx val="43975263"/>
        <c:crosses val="autoZero"/>
        <c:auto val="1"/>
        <c:lblOffset val="100"/>
        <c:tickLblSkip val="1"/>
        <c:noMultiLvlLbl val="0"/>
      </c:catAx>
      <c:valAx>
        <c:axId val="43975263"/>
        <c:scaling>
          <c:orientation val="minMax"/>
          <c:max val="2000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4712302"/>
        <c:crossesAt val="1"/>
        <c:crossBetween val="between"/>
        <c:dispUnits/>
      </c:valAx>
      <c:spPr>
        <a:solidFill>
          <a:srgbClr val="FFFFFF"/>
        </a:solidFill>
        <a:ln w="3175">
          <a:noFill/>
        </a:ln>
      </c:spPr>
    </c:plotArea>
    <c:legend>
      <c:legendPos val="b"/>
      <c:layout>
        <c:manualLayout>
          <c:xMode val="edge"/>
          <c:yMode val="edge"/>
          <c:x val="0.2245"/>
          <c:y val="0.8755"/>
          <c:w val="0.54775"/>
          <c:h val="0.09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di Separazione Consensuale  e Giudiziale nell'ultimo quinquennio presso i Tribuali del distretto di Catania</a:t>
            </a:r>
          </a:p>
        </c:rich>
      </c:tx>
      <c:layout>
        <c:manualLayout>
          <c:xMode val="factor"/>
          <c:yMode val="factor"/>
          <c:x val="0.0085"/>
          <c:y val="-0.00875"/>
        </c:manualLayout>
      </c:layout>
      <c:spPr>
        <a:noFill/>
        <a:ln w="3175">
          <a:noFill/>
        </a:ln>
      </c:spPr>
    </c:title>
    <c:plotArea>
      <c:layout>
        <c:manualLayout>
          <c:xMode val="edge"/>
          <c:yMode val="edge"/>
          <c:x val="0.0045"/>
          <c:y val="0.15725"/>
          <c:w val="0.975"/>
          <c:h val="0.7125"/>
        </c:manualLayout>
      </c:layout>
      <c:lineChart>
        <c:grouping val="standard"/>
        <c:varyColors val="0"/>
        <c:ser>
          <c:idx val="0"/>
          <c:order val="0"/>
          <c:tx>
            <c:strRef>
              <c:f>'Gafici andamento materie'!$A$161</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materie'!$B$160:$F$160</c:f>
              <c:strCache/>
            </c:strRef>
          </c:cat>
          <c:val>
            <c:numRef>
              <c:f>'Gafici andamento materie'!$B$161:$F$161</c:f>
              <c:numCache/>
            </c:numRef>
          </c:val>
          <c:smooth val="0"/>
        </c:ser>
        <c:ser>
          <c:idx val="1"/>
          <c:order val="1"/>
          <c:tx>
            <c:strRef>
              <c:f>'Gafici andamento materie'!$A$162</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materie'!$B$160:$F$160</c:f>
              <c:strCache/>
            </c:strRef>
          </c:cat>
          <c:val>
            <c:numRef>
              <c:f>'Gafici andamento materie'!$B$162:$F$162</c:f>
              <c:numCache/>
            </c:numRef>
          </c:val>
          <c:smooth val="0"/>
        </c:ser>
        <c:ser>
          <c:idx val="2"/>
          <c:order val="2"/>
          <c:tx>
            <c:strRef>
              <c:f>'Gafici andamento materie'!$A$163</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materie'!$B$160:$F$160</c:f>
              <c:strCache/>
            </c:strRef>
          </c:cat>
          <c:val>
            <c:numRef>
              <c:f>'Gafici andamento materie'!$B$163:$F$163</c:f>
              <c:numCache/>
            </c:numRef>
          </c:val>
          <c:smooth val="0"/>
        </c:ser>
        <c:marker val="1"/>
        <c:axId val="60233048"/>
        <c:axId val="5226521"/>
      </c:lineChart>
      <c:catAx>
        <c:axId val="60233048"/>
        <c:scaling>
          <c:orientation val="minMax"/>
        </c:scaling>
        <c:axPos val="b"/>
        <c:delete val="0"/>
        <c:numFmt formatCode="General" sourceLinked="1"/>
        <c:majorTickMark val="none"/>
        <c:minorTickMark val="none"/>
        <c:tickLblPos val="nextTo"/>
        <c:spPr>
          <a:ln w="3175">
            <a:solidFill>
              <a:srgbClr val="808080"/>
            </a:solidFill>
          </a:ln>
        </c:spPr>
        <c:crossAx val="5226521"/>
        <c:crosses val="autoZero"/>
        <c:auto val="1"/>
        <c:lblOffset val="100"/>
        <c:tickLblSkip val="1"/>
        <c:noMultiLvlLbl val="0"/>
      </c:catAx>
      <c:valAx>
        <c:axId val="52265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233048"/>
        <c:crossesAt val="1"/>
        <c:crossBetween val="between"/>
        <c:dispUnits/>
      </c:valAx>
      <c:spPr>
        <a:solidFill>
          <a:srgbClr val="FFFFFF"/>
        </a:solidFill>
        <a:ln w="3175">
          <a:noFill/>
        </a:ln>
      </c:spPr>
    </c:plotArea>
    <c:legend>
      <c:legendPos val="b"/>
      <c:layout>
        <c:manualLayout>
          <c:xMode val="edge"/>
          <c:yMode val="edge"/>
          <c:x val="0.2165"/>
          <c:y val="0.881"/>
          <c:w val="0.56175"/>
          <c:h val="0.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di Divorzio Consensuale e Giudiziale  nell'ultimo quinquennio presso i Tribunali del distretto di Catania</a:t>
            </a:r>
          </a:p>
        </c:rich>
      </c:tx>
      <c:layout>
        <c:manualLayout>
          <c:xMode val="factor"/>
          <c:yMode val="factor"/>
          <c:x val="-0.00175"/>
          <c:y val="-0.0085"/>
        </c:manualLayout>
      </c:layout>
      <c:spPr>
        <a:noFill/>
        <a:ln w="3175">
          <a:noFill/>
        </a:ln>
      </c:spPr>
    </c:title>
    <c:plotArea>
      <c:layout>
        <c:manualLayout>
          <c:xMode val="edge"/>
          <c:yMode val="edge"/>
          <c:x val="0.0045"/>
          <c:y val="0.1505"/>
          <c:w val="0.9745"/>
          <c:h val="0.721"/>
        </c:manualLayout>
      </c:layout>
      <c:lineChart>
        <c:grouping val="standard"/>
        <c:varyColors val="0"/>
        <c:ser>
          <c:idx val="0"/>
          <c:order val="0"/>
          <c:tx>
            <c:strRef>
              <c:f>'Gafici andamento materie'!$A$195</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materie'!$B$194:$F$194</c:f>
              <c:strCache/>
            </c:strRef>
          </c:cat>
          <c:val>
            <c:numRef>
              <c:f>'Gafici andamento materie'!$B$195:$F$195</c:f>
              <c:numCache/>
            </c:numRef>
          </c:val>
          <c:smooth val="0"/>
        </c:ser>
        <c:ser>
          <c:idx val="1"/>
          <c:order val="1"/>
          <c:tx>
            <c:strRef>
              <c:f>'Gafici andamento materie'!$A$196</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materie'!$B$194:$F$194</c:f>
              <c:strCache/>
            </c:strRef>
          </c:cat>
          <c:val>
            <c:numRef>
              <c:f>'Gafici andamento materie'!$B$196:$F$196</c:f>
              <c:numCache/>
            </c:numRef>
          </c:val>
          <c:smooth val="0"/>
        </c:ser>
        <c:ser>
          <c:idx val="2"/>
          <c:order val="2"/>
          <c:tx>
            <c:strRef>
              <c:f>'Gafici andamento materie'!$A$197</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materie'!$B$194:$F$194</c:f>
              <c:strCache/>
            </c:strRef>
          </c:cat>
          <c:val>
            <c:numRef>
              <c:f>'Gafici andamento materie'!$B$197:$F$197</c:f>
              <c:numCache/>
            </c:numRef>
          </c:val>
          <c:smooth val="0"/>
        </c:ser>
        <c:marker val="1"/>
        <c:axId val="47038690"/>
        <c:axId val="20695027"/>
      </c:lineChart>
      <c:catAx>
        <c:axId val="47038690"/>
        <c:scaling>
          <c:orientation val="minMax"/>
        </c:scaling>
        <c:axPos val="b"/>
        <c:delete val="0"/>
        <c:numFmt formatCode="General" sourceLinked="1"/>
        <c:majorTickMark val="none"/>
        <c:minorTickMark val="none"/>
        <c:tickLblPos val="nextTo"/>
        <c:spPr>
          <a:ln w="3175">
            <a:solidFill>
              <a:srgbClr val="808080"/>
            </a:solidFill>
          </a:ln>
        </c:spPr>
        <c:crossAx val="20695027"/>
        <c:crosses val="autoZero"/>
        <c:auto val="1"/>
        <c:lblOffset val="100"/>
        <c:tickLblSkip val="1"/>
        <c:noMultiLvlLbl val="0"/>
      </c:catAx>
      <c:valAx>
        <c:axId val="206950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7038690"/>
        <c:crossesAt val="1"/>
        <c:crossBetween val="between"/>
        <c:dispUnits/>
      </c:valAx>
      <c:spPr>
        <a:solidFill>
          <a:srgbClr val="FFFFFF"/>
        </a:solidFill>
        <a:ln w="3175">
          <a:noFill/>
        </a:ln>
      </c:spPr>
    </c:plotArea>
    <c:legend>
      <c:legendPos val="b"/>
      <c:layout>
        <c:manualLayout>
          <c:xMode val="edge"/>
          <c:yMode val="edge"/>
          <c:x val="0.20875"/>
          <c:y val="0.886"/>
          <c:w val="0.5775"/>
          <c:h val="0.08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in materia di Fallimento nell'ultimo quinquennio presso i Tribunali del distretto di Catania</a:t>
            </a:r>
          </a:p>
        </c:rich>
      </c:tx>
      <c:layout>
        <c:manualLayout>
          <c:xMode val="factor"/>
          <c:yMode val="factor"/>
          <c:x val="-0.00175"/>
          <c:y val="-0.0085"/>
        </c:manualLayout>
      </c:layout>
      <c:spPr>
        <a:noFill/>
        <a:ln w="3175">
          <a:noFill/>
        </a:ln>
      </c:spPr>
    </c:title>
    <c:plotArea>
      <c:layout>
        <c:manualLayout>
          <c:xMode val="edge"/>
          <c:yMode val="edge"/>
          <c:x val="0.00425"/>
          <c:y val="0.152"/>
          <c:w val="0.97625"/>
          <c:h val="0.72225"/>
        </c:manualLayout>
      </c:layout>
      <c:lineChart>
        <c:grouping val="standard"/>
        <c:varyColors val="0"/>
        <c:ser>
          <c:idx val="0"/>
          <c:order val="0"/>
          <c:tx>
            <c:strRef>
              <c:f>'Gafici andamento materie'!$A$230</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materie'!$B$229:$F$229</c:f>
              <c:strCache/>
            </c:strRef>
          </c:cat>
          <c:val>
            <c:numRef>
              <c:f>'Gafici andamento materie'!$B$230:$F$230</c:f>
              <c:numCache/>
            </c:numRef>
          </c:val>
          <c:smooth val="0"/>
        </c:ser>
        <c:ser>
          <c:idx val="1"/>
          <c:order val="1"/>
          <c:tx>
            <c:strRef>
              <c:f>'Gafici andamento materie'!$A$231</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materie'!$B$229:$F$229</c:f>
              <c:strCache/>
            </c:strRef>
          </c:cat>
          <c:val>
            <c:numRef>
              <c:f>'Gafici andamento materie'!$B$231:$F$231</c:f>
              <c:numCache/>
            </c:numRef>
          </c:val>
          <c:smooth val="0"/>
        </c:ser>
        <c:ser>
          <c:idx val="2"/>
          <c:order val="2"/>
          <c:tx>
            <c:strRef>
              <c:f>'Gafici andamento materie'!$A$232</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materie'!$B$229:$F$229</c:f>
              <c:strCache/>
            </c:strRef>
          </c:cat>
          <c:val>
            <c:numRef>
              <c:f>'Gafici andamento materie'!$B$232:$F$232</c:f>
              <c:numCache/>
            </c:numRef>
          </c:val>
          <c:smooth val="0"/>
        </c:ser>
        <c:marker val="1"/>
        <c:axId val="52037516"/>
        <c:axId val="65684461"/>
      </c:lineChart>
      <c:catAx>
        <c:axId val="52037516"/>
        <c:scaling>
          <c:orientation val="minMax"/>
        </c:scaling>
        <c:axPos val="b"/>
        <c:delete val="0"/>
        <c:numFmt formatCode="General" sourceLinked="1"/>
        <c:majorTickMark val="none"/>
        <c:minorTickMark val="none"/>
        <c:tickLblPos val="nextTo"/>
        <c:spPr>
          <a:ln w="3175">
            <a:solidFill>
              <a:srgbClr val="808080"/>
            </a:solidFill>
          </a:ln>
        </c:spPr>
        <c:crossAx val="65684461"/>
        <c:crosses val="autoZero"/>
        <c:auto val="1"/>
        <c:lblOffset val="100"/>
        <c:tickLblSkip val="1"/>
        <c:noMultiLvlLbl val="0"/>
      </c:catAx>
      <c:valAx>
        <c:axId val="656844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037516"/>
        <c:crossesAt val="1"/>
        <c:crossBetween val="between"/>
        <c:dispUnits/>
      </c:valAx>
      <c:spPr>
        <a:solidFill>
          <a:srgbClr val="FFFFFF"/>
        </a:solidFill>
        <a:ln w="3175">
          <a:noFill/>
        </a:ln>
      </c:spPr>
    </c:plotArea>
    <c:legend>
      <c:legendPos val="b"/>
      <c:layout>
        <c:manualLayout>
          <c:xMode val="edge"/>
          <c:yMode val="edge"/>
          <c:x val="0.224"/>
          <c:y val="0.885"/>
          <c:w val="0.547"/>
          <c:h val="0.08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Procedimenti civili pendenti al 30 giugno 2011 presso Tribuinali e Sezioni duistaccate del distretto di Catania  - principali materie</a:t>
            </a:r>
          </a:p>
        </c:rich>
      </c:tx>
      <c:layout>
        <c:manualLayout>
          <c:xMode val="factor"/>
          <c:yMode val="factor"/>
          <c:x val="-0.00175"/>
          <c:y val="-0.01"/>
        </c:manualLayout>
      </c:layout>
      <c:spPr>
        <a:noFill/>
        <a:ln w="3175">
          <a:noFill/>
        </a:ln>
      </c:spPr>
    </c:title>
    <c:view3D>
      <c:rotX val="30"/>
      <c:hPercent val="100"/>
      <c:rotY val="0"/>
      <c:depthPercent val="100"/>
      <c:rAngAx val="1"/>
    </c:view3D>
    <c:plotArea>
      <c:layout>
        <c:manualLayout>
          <c:xMode val="edge"/>
          <c:yMode val="edge"/>
          <c:x val="0.2785"/>
          <c:y val="0.2795"/>
          <c:w val="0.48625"/>
          <c:h val="0.44525"/>
        </c:manualLayout>
      </c:layout>
      <c:pie3DChart>
        <c:varyColors val="1"/>
        <c:ser>
          <c:idx val="0"/>
          <c:order val="0"/>
          <c:spPr>
            <a:solidFill>
              <a:srgbClr val="4F81BD"/>
            </a:solidFill>
            <a:ln w="3175">
              <a:noFill/>
            </a:ln>
          </c:spPr>
          <c:explosion val="28"/>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'Materie '!$J$6:$J$16</c:f>
              <c:strCache/>
            </c:strRef>
          </c:cat>
          <c:val>
            <c:numRef>
              <c:f>'Materie '!$K$6:$K$16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Procedimenti civili Iscritti presso Tribunali e Sezioni distaccate del distretto  di Catania nell'A.G. 2013/2014 - Principali materie</a:t>
            </a:r>
          </a:p>
        </c:rich>
      </c:tx>
      <c:layout>
        <c:manualLayout>
          <c:xMode val="factor"/>
          <c:yMode val="factor"/>
          <c:x val="-0.0015"/>
          <c:y val="-0.011"/>
        </c:manualLayout>
      </c:layout>
      <c:spPr>
        <a:noFill/>
        <a:ln w="3175">
          <a:noFill/>
        </a:ln>
      </c:spPr>
    </c:title>
    <c:view3D>
      <c:rotX val="30"/>
      <c:hPercent val="100"/>
      <c:rotY val="0"/>
      <c:depthPercent val="100"/>
      <c:rAngAx val="1"/>
    </c:view3D>
    <c:plotArea>
      <c:layout>
        <c:manualLayout>
          <c:xMode val="edge"/>
          <c:yMode val="edge"/>
          <c:x val="0.3035"/>
          <c:y val="0.35325"/>
          <c:w val="0.45175"/>
          <c:h val="0.393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'Materie '!$A$6:$A$16</c:f>
              <c:strCache/>
            </c:strRef>
          </c:cat>
          <c:val>
            <c:numRef>
              <c:f>'Materie '!$C$6:$C$16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11</xdr:row>
      <xdr:rowOff>0</xdr:rowOff>
    </xdr:from>
    <xdr:to>
      <xdr:col>8</xdr:col>
      <xdr:colOff>466725</xdr:colOff>
      <xdr:row>32</xdr:row>
      <xdr:rowOff>19050</xdr:rowOff>
    </xdr:to>
    <xdr:graphicFrame>
      <xdr:nvGraphicFramePr>
        <xdr:cNvPr id="1" name="Grafico 2"/>
        <xdr:cNvGraphicFramePr/>
      </xdr:nvGraphicFramePr>
      <xdr:xfrm>
        <a:off x="447675" y="2400300"/>
        <a:ext cx="5676900" cy="3409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0</xdr:rowOff>
    </xdr:from>
    <xdr:to>
      <xdr:col>6</xdr:col>
      <xdr:colOff>133350</xdr:colOff>
      <xdr:row>75</xdr:row>
      <xdr:rowOff>28575</xdr:rowOff>
    </xdr:to>
    <xdr:graphicFrame>
      <xdr:nvGraphicFramePr>
        <xdr:cNvPr id="2" name="Grafico 4"/>
        <xdr:cNvGraphicFramePr/>
      </xdr:nvGraphicFramePr>
      <xdr:xfrm>
        <a:off x="0" y="9915525"/>
        <a:ext cx="4572000" cy="30956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0</xdr:rowOff>
    </xdr:from>
    <xdr:to>
      <xdr:col>7</xdr:col>
      <xdr:colOff>161925</xdr:colOff>
      <xdr:row>113</xdr:row>
      <xdr:rowOff>104775</xdr:rowOff>
    </xdr:to>
    <xdr:graphicFrame>
      <xdr:nvGraphicFramePr>
        <xdr:cNvPr id="3" name="Grafico 5"/>
        <xdr:cNvGraphicFramePr/>
      </xdr:nvGraphicFramePr>
      <xdr:xfrm>
        <a:off x="0" y="16916400"/>
        <a:ext cx="5210175" cy="251460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133</xdr:row>
      <xdr:rowOff>9525</xdr:rowOff>
    </xdr:from>
    <xdr:to>
      <xdr:col>8</xdr:col>
      <xdr:colOff>342900</xdr:colOff>
      <xdr:row>147</xdr:row>
      <xdr:rowOff>28575</xdr:rowOff>
    </xdr:to>
    <xdr:graphicFrame>
      <xdr:nvGraphicFramePr>
        <xdr:cNvPr id="4" name="Grafico 4"/>
        <xdr:cNvGraphicFramePr/>
      </xdr:nvGraphicFramePr>
      <xdr:xfrm>
        <a:off x="142875" y="22783800"/>
        <a:ext cx="5857875" cy="215265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165</xdr:row>
      <xdr:rowOff>76200</xdr:rowOff>
    </xdr:from>
    <xdr:to>
      <xdr:col>8</xdr:col>
      <xdr:colOff>171450</xdr:colOff>
      <xdr:row>180</xdr:row>
      <xdr:rowOff>38100</xdr:rowOff>
    </xdr:to>
    <xdr:graphicFrame>
      <xdr:nvGraphicFramePr>
        <xdr:cNvPr id="5" name="Grafico 5"/>
        <xdr:cNvGraphicFramePr/>
      </xdr:nvGraphicFramePr>
      <xdr:xfrm>
        <a:off x="114300" y="28079700"/>
        <a:ext cx="5715000" cy="2247900"/>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200</xdr:row>
      <xdr:rowOff>38100</xdr:rowOff>
    </xdr:from>
    <xdr:to>
      <xdr:col>8</xdr:col>
      <xdr:colOff>28575</xdr:colOff>
      <xdr:row>215</xdr:row>
      <xdr:rowOff>95250</xdr:rowOff>
    </xdr:to>
    <xdr:graphicFrame>
      <xdr:nvGraphicFramePr>
        <xdr:cNvPr id="6" name="Grafico 6"/>
        <xdr:cNvGraphicFramePr/>
      </xdr:nvGraphicFramePr>
      <xdr:xfrm>
        <a:off x="123825" y="33718500"/>
        <a:ext cx="5562600" cy="23431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233</xdr:row>
      <xdr:rowOff>133350</xdr:rowOff>
    </xdr:from>
    <xdr:to>
      <xdr:col>8</xdr:col>
      <xdr:colOff>209550</xdr:colOff>
      <xdr:row>249</xdr:row>
      <xdr:rowOff>19050</xdr:rowOff>
    </xdr:to>
    <xdr:graphicFrame>
      <xdr:nvGraphicFramePr>
        <xdr:cNvPr id="7" name="Grafico 7"/>
        <xdr:cNvGraphicFramePr/>
      </xdr:nvGraphicFramePr>
      <xdr:xfrm>
        <a:off x="0" y="39185850"/>
        <a:ext cx="5867400" cy="23241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4</xdr:row>
      <xdr:rowOff>38100</xdr:rowOff>
    </xdr:from>
    <xdr:to>
      <xdr:col>21</xdr:col>
      <xdr:colOff>514350</xdr:colOff>
      <xdr:row>17</xdr:row>
      <xdr:rowOff>104775</xdr:rowOff>
    </xdr:to>
    <xdr:graphicFrame>
      <xdr:nvGraphicFramePr>
        <xdr:cNvPr id="1" name="Grafico 1"/>
        <xdr:cNvGraphicFramePr/>
      </xdr:nvGraphicFramePr>
      <xdr:xfrm>
        <a:off x="11506200" y="781050"/>
        <a:ext cx="5924550" cy="2914650"/>
      </xdr:xfrm>
      <a:graphic>
        <a:graphicData uri="http://schemas.openxmlformats.org/drawingml/2006/chart">
          <c:chart xmlns:c="http://schemas.openxmlformats.org/drawingml/2006/chart" r:id="rId1"/>
        </a:graphicData>
      </a:graphic>
    </xdr:graphicFrame>
    <xdr:clientData/>
  </xdr:twoCellAnchor>
  <xdr:twoCellAnchor>
    <xdr:from>
      <xdr:col>0</xdr:col>
      <xdr:colOff>771525</xdr:colOff>
      <xdr:row>22</xdr:row>
      <xdr:rowOff>95250</xdr:rowOff>
    </xdr:from>
    <xdr:to>
      <xdr:col>7</xdr:col>
      <xdr:colOff>638175</xdr:colOff>
      <xdr:row>44</xdr:row>
      <xdr:rowOff>114300</xdr:rowOff>
    </xdr:to>
    <xdr:graphicFrame>
      <xdr:nvGraphicFramePr>
        <xdr:cNvPr id="2" name="Grafico 4"/>
        <xdr:cNvGraphicFramePr/>
      </xdr:nvGraphicFramePr>
      <xdr:xfrm>
        <a:off x="771525" y="4457700"/>
        <a:ext cx="6172200" cy="3581400"/>
      </xdr:xfrm>
      <a:graphic>
        <a:graphicData uri="http://schemas.openxmlformats.org/drawingml/2006/chart">
          <c:chart xmlns:c="http://schemas.openxmlformats.org/drawingml/2006/chart" r:id="rId2"/>
        </a:graphicData>
      </a:graphic>
    </xdr:graphicFrame>
    <xdr:clientData/>
  </xdr:twoCellAnchor>
  <xdr:twoCellAnchor>
    <xdr:from>
      <xdr:col>0</xdr:col>
      <xdr:colOff>914400</xdr:colOff>
      <xdr:row>49</xdr:row>
      <xdr:rowOff>133350</xdr:rowOff>
    </xdr:from>
    <xdr:to>
      <xdr:col>7</xdr:col>
      <xdr:colOff>781050</xdr:colOff>
      <xdr:row>71</xdr:row>
      <xdr:rowOff>152400</xdr:rowOff>
    </xdr:to>
    <xdr:graphicFrame>
      <xdr:nvGraphicFramePr>
        <xdr:cNvPr id="3" name="Grafico 4"/>
        <xdr:cNvGraphicFramePr/>
      </xdr:nvGraphicFramePr>
      <xdr:xfrm>
        <a:off x="914400" y="8867775"/>
        <a:ext cx="6172200" cy="35814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36</xdr:row>
      <xdr:rowOff>28575</xdr:rowOff>
    </xdr:from>
    <xdr:to>
      <xdr:col>11</xdr:col>
      <xdr:colOff>123825</xdr:colOff>
      <xdr:row>61</xdr:row>
      <xdr:rowOff>95250</xdr:rowOff>
    </xdr:to>
    <xdr:graphicFrame>
      <xdr:nvGraphicFramePr>
        <xdr:cNvPr id="1" name="Grafico 2"/>
        <xdr:cNvGraphicFramePr/>
      </xdr:nvGraphicFramePr>
      <xdr:xfrm>
        <a:off x="1600200" y="6886575"/>
        <a:ext cx="6715125" cy="4114800"/>
      </xdr:xfrm>
      <a:graphic>
        <a:graphicData uri="http://schemas.openxmlformats.org/drawingml/2006/chart">
          <c:chart xmlns:c="http://schemas.openxmlformats.org/drawingml/2006/chart" r:id="rId1"/>
        </a:graphicData>
      </a:graphic>
    </xdr:graphicFrame>
    <xdr:clientData/>
  </xdr:twoCellAnchor>
  <xdr:twoCellAnchor>
    <xdr:from>
      <xdr:col>1</xdr:col>
      <xdr:colOff>923925</xdr:colOff>
      <xdr:row>64</xdr:row>
      <xdr:rowOff>38100</xdr:rowOff>
    </xdr:from>
    <xdr:to>
      <xdr:col>11</xdr:col>
      <xdr:colOff>133350</xdr:colOff>
      <xdr:row>91</xdr:row>
      <xdr:rowOff>0</xdr:rowOff>
    </xdr:to>
    <xdr:graphicFrame>
      <xdr:nvGraphicFramePr>
        <xdr:cNvPr id="2" name="Grafico 3"/>
        <xdr:cNvGraphicFramePr/>
      </xdr:nvGraphicFramePr>
      <xdr:xfrm>
        <a:off x="1533525" y="11430000"/>
        <a:ext cx="6791325" cy="4333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9</xdr:col>
      <xdr:colOff>495300</xdr:colOff>
      <xdr:row>54</xdr:row>
      <xdr:rowOff>66675</xdr:rowOff>
    </xdr:to>
    <xdr:graphicFrame>
      <xdr:nvGraphicFramePr>
        <xdr:cNvPr id="1" name="Grafico 1"/>
        <xdr:cNvGraphicFramePr/>
      </xdr:nvGraphicFramePr>
      <xdr:xfrm>
        <a:off x="0" y="7048500"/>
        <a:ext cx="8420100" cy="3467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31</xdr:row>
      <xdr:rowOff>19050</xdr:rowOff>
    </xdr:from>
    <xdr:to>
      <xdr:col>11</xdr:col>
      <xdr:colOff>28575</xdr:colOff>
      <xdr:row>53</xdr:row>
      <xdr:rowOff>133350</xdr:rowOff>
    </xdr:to>
    <xdr:graphicFrame>
      <xdr:nvGraphicFramePr>
        <xdr:cNvPr id="1" name="Grafico 1"/>
        <xdr:cNvGraphicFramePr/>
      </xdr:nvGraphicFramePr>
      <xdr:xfrm>
        <a:off x="266700" y="3009900"/>
        <a:ext cx="5981700" cy="3676650"/>
      </xdr:xfrm>
      <a:graphic>
        <a:graphicData uri="http://schemas.openxmlformats.org/drawingml/2006/chart">
          <c:chart xmlns:c="http://schemas.openxmlformats.org/drawingml/2006/chart" r:id="rId1"/>
        </a:graphicData>
      </a:graphic>
    </xdr:graphicFrame>
    <xdr:clientData/>
  </xdr:twoCellAnchor>
  <xdr:twoCellAnchor>
    <xdr:from>
      <xdr:col>11</xdr:col>
      <xdr:colOff>238125</xdr:colOff>
      <xdr:row>33</xdr:row>
      <xdr:rowOff>142875</xdr:rowOff>
    </xdr:from>
    <xdr:to>
      <xdr:col>20</xdr:col>
      <xdr:colOff>133350</xdr:colOff>
      <xdr:row>52</xdr:row>
      <xdr:rowOff>104775</xdr:rowOff>
    </xdr:to>
    <xdr:graphicFrame>
      <xdr:nvGraphicFramePr>
        <xdr:cNvPr id="2" name="Grafico 4"/>
        <xdr:cNvGraphicFramePr/>
      </xdr:nvGraphicFramePr>
      <xdr:xfrm>
        <a:off x="6457950" y="3457575"/>
        <a:ext cx="5381625" cy="3038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0</xdr:row>
      <xdr:rowOff>19050</xdr:rowOff>
    </xdr:from>
    <xdr:to>
      <xdr:col>24</xdr:col>
      <xdr:colOff>285750</xdr:colOff>
      <xdr:row>39</xdr:row>
      <xdr:rowOff>133350</xdr:rowOff>
    </xdr:to>
    <xdr:graphicFrame>
      <xdr:nvGraphicFramePr>
        <xdr:cNvPr id="1" name="Grafico 2"/>
        <xdr:cNvGraphicFramePr/>
      </xdr:nvGraphicFramePr>
      <xdr:xfrm>
        <a:off x="7096125" y="19050"/>
        <a:ext cx="8105775" cy="15487650"/>
      </xdr:xfrm>
      <a:graphic>
        <a:graphicData uri="http://schemas.openxmlformats.org/drawingml/2006/chart">
          <c:chart xmlns:c="http://schemas.openxmlformats.org/drawingml/2006/chart" r:id="rId1"/>
        </a:graphicData>
      </a:graphic>
    </xdr:graphicFrame>
    <xdr:clientData/>
  </xdr:twoCellAnchor>
  <xdr:twoCellAnchor>
    <xdr:from>
      <xdr:col>10</xdr:col>
      <xdr:colOff>542925</xdr:colOff>
      <xdr:row>116</xdr:row>
      <xdr:rowOff>161925</xdr:rowOff>
    </xdr:from>
    <xdr:to>
      <xdr:col>21</xdr:col>
      <xdr:colOff>47625</xdr:colOff>
      <xdr:row>131</xdr:row>
      <xdr:rowOff>66675</xdr:rowOff>
    </xdr:to>
    <xdr:graphicFrame>
      <xdr:nvGraphicFramePr>
        <xdr:cNvPr id="2" name="Grafico 3"/>
        <xdr:cNvGraphicFramePr/>
      </xdr:nvGraphicFramePr>
      <xdr:xfrm>
        <a:off x="6924675" y="39538275"/>
        <a:ext cx="6210300" cy="33718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141</xdr:row>
      <xdr:rowOff>0</xdr:rowOff>
    </xdr:from>
    <xdr:to>
      <xdr:col>15</xdr:col>
      <xdr:colOff>200025</xdr:colOff>
      <xdr:row>162</xdr:row>
      <xdr:rowOff>123825</xdr:rowOff>
    </xdr:to>
    <xdr:graphicFrame>
      <xdr:nvGraphicFramePr>
        <xdr:cNvPr id="3" name="Grafico 4"/>
        <xdr:cNvGraphicFramePr/>
      </xdr:nvGraphicFramePr>
      <xdr:xfrm>
        <a:off x="3324225" y="44424600"/>
        <a:ext cx="6305550" cy="3524250"/>
      </xdr:xfrm>
      <a:graphic>
        <a:graphicData uri="http://schemas.openxmlformats.org/drawingml/2006/chart">
          <c:chart xmlns:c="http://schemas.openxmlformats.org/drawingml/2006/chart" r:id="rId3"/>
        </a:graphicData>
      </a:graphic>
    </xdr:graphicFrame>
    <xdr:clientData/>
  </xdr:twoCellAnchor>
  <xdr:twoCellAnchor>
    <xdr:from>
      <xdr:col>11</xdr:col>
      <xdr:colOff>609600</xdr:colOff>
      <xdr:row>40</xdr:row>
      <xdr:rowOff>114300</xdr:rowOff>
    </xdr:from>
    <xdr:to>
      <xdr:col>25</xdr:col>
      <xdr:colOff>409575</xdr:colOff>
      <xdr:row>70</xdr:row>
      <xdr:rowOff>238125</xdr:rowOff>
    </xdr:to>
    <xdr:graphicFrame>
      <xdr:nvGraphicFramePr>
        <xdr:cNvPr id="4" name="Grafico 2"/>
        <xdr:cNvGraphicFramePr/>
      </xdr:nvGraphicFramePr>
      <xdr:xfrm>
        <a:off x="7600950" y="16059150"/>
        <a:ext cx="8334375" cy="123920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13</xdr:col>
      <xdr:colOff>371475</xdr:colOff>
      <xdr:row>27</xdr:row>
      <xdr:rowOff>47625</xdr:rowOff>
    </xdr:to>
    <xdr:graphicFrame>
      <xdr:nvGraphicFramePr>
        <xdr:cNvPr id="1" name="Grafico 2"/>
        <xdr:cNvGraphicFramePr/>
      </xdr:nvGraphicFramePr>
      <xdr:xfrm>
        <a:off x="6819900" y="457200"/>
        <a:ext cx="6296025" cy="4257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9.9.36\sharecorte\Statistica\Relazione%20Annuale\2011%20-2012\civile\Civile_Tavole%20AG%202011_2012aggiornamento18ott_x%20Relazione%20Wordultim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CEDCTUTE002\ShareCorte\Statistica\Relazione%20Annuale\2013%20-%202014\Catania_AG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 Informativa"/>
      <sheetName val="Tav_1.1"/>
      <sheetName val="Tav_1.1 x Word"/>
      <sheetName val="Indici"/>
      <sheetName val="Tav_1.2 Trib-Sez_dist x materia"/>
      <sheetName val="Indici Tav_1.2 Trib-Sez_dist"/>
      <sheetName val="Gafici andamento materie"/>
      <sheetName val="Materie "/>
      <sheetName val="Tav_1.3"/>
      <sheetName val="Grafici Tav_1.3"/>
      <sheetName val="Tav_1.4"/>
      <sheetName val="Tav_1.5"/>
      <sheetName val="Tav_1.6_1.7"/>
      <sheetName val="Corte Appello"/>
    </sheetNames>
    <sheetDataSet>
      <sheetData sheetId="13">
        <row r="49">
          <cell r="A49" t="str">
            <v>Delibazioni ai sensi dell'art.8 L.121/85</v>
          </cell>
          <cell r="E49">
            <v>5</v>
          </cell>
        </row>
        <row r="50">
          <cell r="A50" t="str">
            <v>Delibazioni ai sensi dell'art.67 L.218/95</v>
          </cell>
          <cell r="E50">
            <v>1</v>
          </cell>
        </row>
        <row r="51">
          <cell r="A51" t="str">
            <v>Esecutorietà lodi arbitrali stranieri art.839 c.p.c.</v>
          </cell>
          <cell r="E51">
            <v>0</v>
          </cell>
        </row>
        <row r="52">
          <cell r="A52" t="str">
            <v>Impugnazione lodi arbitrali nazionali art.828 c.p.c.</v>
          </cell>
          <cell r="E52">
            <v>32</v>
          </cell>
        </row>
        <row r="53">
          <cell r="A53" t="str">
            <v>Procedimenti relativi al Tribunale delle acque pubbliche</v>
          </cell>
          <cell r="E53">
            <v>0</v>
          </cell>
        </row>
        <row r="54">
          <cell r="A54" t="str">
            <v>Controversie elettorali (elettorato attivo)</v>
          </cell>
          <cell r="E54">
            <v>0</v>
          </cell>
        </row>
        <row r="55">
          <cell r="A55" t="str">
            <v>Altri procedimenti contenziosi</v>
          </cell>
          <cell r="E55">
            <v>233</v>
          </cell>
        </row>
        <row r="56">
          <cell r="A56" t="str">
            <v>Delibazioni ai sensi dell'art.8 L.121/85</v>
          </cell>
          <cell r="E56">
            <v>1</v>
          </cell>
        </row>
        <row r="57">
          <cell r="A57" t="str">
            <v>Delibazioni ai sensi dell'art.67 L.218/95</v>
          </cell>
          <cell r="E57">
            <v>3</v>
          </cell>
        </row>
        <row r="58">
          <cell r="A58" t="str">
            <v>Esecutorietà lodi arbitrali stranieri art.839 c.p.c.</v>
          </cell>
          <cell r="E58">
            <v>0</v>
          </cell>
        </row>
        <row r="59">
          <cell r="A59" t="str">
            <v>Equa riparazione per violazione del termine ragionevole del processo</v>
          </cell>
          <cell r="E59">
            <v>147</v>
          </cell>
        </row>
        <row r="60">
          <cell r="A60" t="str">
            <v>Altri procedimenti VG</v>
          </cell>
          <cell r="E60">
            <v>12</v>
          </cell>
        </row>
        <row r="61">
          <cell r="A61" t="str">
            <v>Totale Primo grado</v>
          </cell>
          <cell r="E61">
            <v>434</v>
          </cell>
        </row>
        <row r="62">
          <cell r="A62" t="str">
            <v>Cognizione ordinaria</v>
          </cell>
          <cell r="E62">
            <v>8757</v>
          </cell>
        </row>
        <row r="63">
          <cell r="A63" t="str">
            <v>Procedimenti relativi agli usi civici</v>
          </cell>
          <cell r="E63">
            <v>0</v>
          </cell>
        </row>
        <row r="64">
          <cell r="A64" t="str">
            <v>Controversie agrarie</v>
          </cell>
          <cell r="E64">
            <v>22</v>
          </cell>
        </row>
        <row r="65">
          <cell r="A65" t="str">
            <v>Controversie elettorali (elettorato passivo)</v>
          </cell>
          <cell r="E65">
            <v>0</v>
          </cell>
        </row>
        <row r="66">
          <cell r="A66" t="str">
            <v>Controversie in materia di lavoro - pubblico impiego</v>
          </cell>
          <cell r="E66">
            <v>783</v>
          </cell>
        </row>
        <row r="67">
          <cell r="A67" t="str">
            <v>Altre controversie in materia di lavoro</v>
          </cell>
          <cell r="E67">
            <v>1904</v>
          </cell>
        </row>
        <row r="68">
          <cell r="A68" t="str">
            <v>Controversie in materia di previdenza ed assistenza</v>
          </cell>
          <cell r="E68">
            <v>2483</v>
          </cell>
        </row>
        <row r="69">
          <cell r="A69" t="str">
            <v>Procedimenti in materia di separazione dei coniugi cont.</v>
          </cell>
          <cell r="E69">
            <v>112</v>
          </cell>
        </row>
        <row r="70">
          <cell r="A70" t="str">
            <v>Procedimenti in materia di divorzio cont.</v>
          </cell>
          <cell r="E70">
            <v>68</v>
          </cell>
        </row>
        <row r="71">
          <cell r="A71" t="str">
            <v>Procedimenti in materia minorile cont.</v>
          </cell>
          <cell r="E71">
            <v>3</v>
          </cell>
        </row>
        <row r="72">
          <cell r="A72" t="str">
            <v>Procedimenti in materia di proprietà industriale ed intellettuale</v>
          </cell>
          <cell r="E72">
            <v>26</v>
          </cell>
        </row>
        <row r="73">
          <cell r="A73" t="str">
            <v>Procedimenti in materia di diritto societario - rito ordinario</v>
          </cell>
          <cell r="E73">
            <v>4</v>
          </cell>
        </row>
        <row r="74">
          <cell r="A74" t="str">
            <v>Altri procedimenti contenziosi</v>
          </cell>
          <cell r="E74">
            <v>60</v>
          </cell>
        </row>
        <row r="75">
          <cell r="A75" t="str">
            <v>Procedimenti non contenziosi (VG)</v>
          </cell>
          <cell r="E75">
            <v>0</v>
          </cell>
        </row>
        <row r="76">
          <cell r="A76" t="str">
            <v>Procedimenti in materia di separazione dei coniugi VG</v>
          </cell>
          <cell r="E76">
            <v>34</v>
          </cell>
        </row>
        <row r="77">
          <cell r="A77" t="str">
            <v>Procedimenti in materia di Divorzio VG</v>
          </cell>
          <cell r="E77">
            <v>27</v>
          </cell>
        </row>
        <row r="78">
          <cell r="A78" t="str">
            <v>Procedimenti in materia minorile VG</v>
          </cell>
          <cell r="E78">
            <v>39</v>
          </cell>
        </row>
        <row r="79">
          <cell r="A79" t="str">
            <v>Procedimenti in materia di diritto societario - rito camerale</v>
          </cell>
          <cell r="E79">
            <v>0</v>
          </cell>
        </row>
        <row r="80">
          <cell r="A80" t="str">
            <v>Altri procedimenti VG</v>
          </cell>
          <cell r="E80">
            <v>288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1"/>
      <sheetName val="tab. 1.2"/>
      <sheetName val="tab. 1.3 - 1.4 - 1.5"/>
    </sheetNames>
    <sheetDataSet>
      <sheetData sheetId="1">
        <row r="6">
          <cell r="A6" t="str">
            <v>Contratti bancari</v>
          </cell>
          <cell r="B6">
            <v>212</v>
          </cell>
        </row>
        <row r="7">
          <cell r="A7" t="str">
            <v>Diritti reali</v>
          </cell>
          <cell r="B7">
            <v>127</v>
          </cell>
        </row>
        <row r="8">
          <cell r="A8" t="str">
            <v>Altra natura</v>
          </cell>
          <cell r="B8">
            <v>114</v>
          </cell>
        </row>
        <row r="9">
          <cell r="A9" t="str">
            <v>Locazione</v>
          </cell>
          <cell r="B9">
            <v>76</v>
          </cell>
        </row>
        <row r="10">
          <cell r="A10" t="str">
            <v>Divisione</v>
          </cell>
          <cell r="B10">
            <v>62</v>
          </cell>
        </row>
        <row r="11">
          <cell r="A11" t="str">
            <v>Risarcimento danni da responsabilità medica</v>
          </cell>
          <cell r="B11">
            <v>57</v>
          </cell>
        </row>
        <row r="12">
          <cell r="A12" t="str">
            <v>Condominio</v>
          </cell>
          <cell r="B12">
            <v>51</v>
          </cell>
        </row>
        <row r="13">
          <cell r="A13" t="str">
            <v>Contratti assicurativi</v>
          </cell>
          <cell r="B13">
            <v>29</v>
          </cell>
        </row>
        <row r="14">
          <cell r="A14" t="str">
            <v>Successioni ereditarie</v>
          </cell>
          <cell r="B14">
            <v>27</v>
          </cell>
        </row>
        <row r="15">
          <cell r="A15" t="str">
            <v>Contratti finanziari</v>
          </cell>
          <cell r="B15">
            <v>13</v>
          </cell>
        </row>
        <row r="16">
          <cell r="A16" t="str">
            <v>Comodato</v>
          </cell>
          <cell r="B16">
            <v>10</v>
          </cell>
        </row>
        <row r="17">
          <cell r="A17" t="str">
            <v>Affitto di aziende</v>
          </cell>
          <cell r="B17">
            <v>5</v>
          </cell>
        </row>
        <row r="18">
          <cell r="A18" t="str">
            <v>Risarcimento danni da diffamazione a mezzo stampa</v>
          </cell>
          <cell r="B18">
            <v>4</v>
          </cell>
        </row>
        <row r="19">
          <cell r="A19" t="str">
            <v>Patti di famiglia</v>
          </cell>
          <cell r="B19">
            <v>2</v>
          </cell>
        </row>
        <row r="20">
          <cell r="A20" t="str">
            <v>Risarcimento danni da circolazione veicoli e natanti</v>
          </cell>
          <cell r="B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drawing" Target="../drawings/drawing5.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W34"/>
  <sheetViews>
    <sheetView zoomScalePageLayoutView="0" workbookViewId="0" topLeftCell="A1">
      <selection activeCell="B11" sqref="B11:U11"/>
    </sheetView>
  </sheetViews>
  <sheetFormatPr defaultColWidth="9.140625" defaultRowHeight="12.75"/>
  <cols>
    <col min="1" max="1" width="15.28125" style="1" customWidth="1"/>
    <col min="2" max="2" width="12.28125" style="1" customWidth="1"/>
    <col min="3" max="15" width="9.140625" style="1" customWidth="1"/>
    <col min="16" max="16" width="6.57421875" style="1" customWidth="1"/>
    <col min="17" max="17" width="6.421875" style="1" customWidth="1"/>
    <col min="18" max="18" width="9.140625" style="1" hidden="1" customWidth="1"/>
    <col min="19" max="16384" width="9.140625" style="1" customWidth="1"/>
  </cols>
  <sheetData>
    <row r="1" spans="1:21" ht="24" customHeight="1">
      <c r="A1" s="711" t="s">
        <v>57</v>
      </c>
      <c r="B1" s="711"/>
      <c r="C1" s="711"/>
      <c r="D1" s="711"/>
      <c r="E1" s="711"/>
      <c r="F1" s="711"/>
      <c r="G1" s="711"/>
      <c r="H1" s="711"/>
      <c r="I1" s="711"/>
      <c r="J1" s="711"/>
      <c r="K1" s="711"/>
      <c r="L1" s="711"/>
      <c r="M1" s="711"/>
      <c r="N1" s="711"/>
      <c r="O1" s="711"/>
      <c r="P1" s="711"/>
      <c r="Q1" s="711"/>
      <c r="R1" s="711"/>
      <c r="S1" s="711"/>
      <c r="T1" s="711"/>
      <c r="U1" s="711"/>
    </row>
    <row r="2" spans="1:23" ht="74.25" customHeight="1">
      <c r="A2" s="712" t="s">
        <v>58</v>
      </c>
      <c r="B2" s="712"/>
      <c r="C2" s="712"/>
      <c r="D2" s="712"/>
      <c r="E2" s="712"/>
      <c r="F2" s="712"/>
      <c r="G2" s="712"/>
      <c r="H2" s="712"/>
      <c r="I2" s="712"/>
      <c r="J2" s="712"/>
      <c r="K2" s="712"/>
      <c r="L2" s="712"/>
      <c r="M2" s="712"/>
      <c r="N2" s="712"/>
      <c r="O2" s="712"/>
      <c r="P2" s="712"/>
      <c r="Q2" s="712"/>
      <c r="R2" s="712"/>
      <c r="S2" s="712"/>
      <c r="T2" s="712"/>
      <c r="U2" s="712"/>
      <c r="V2" s="2"/>
      <c r="W2" s="2"/>
    </row>
    <row r="3" spans="1:13" ht="6" customHeight="1">
      <c r="A3" s="3"/>
      <c r="B3" s="3"/>
      <c r="C3" s="3"/>
      <c r="D3" s="3"/>
      <c r="E3" s="3"/>
      <c r="F3" s="3"/>
      <c r="G3" s="3"/>
      <c r="H3" s="3"/>
      <c r="I3" s="3"/>
      <c r="J3" s="3"/>
      <c r="K3" s="3"/>
      <c r="L3" s="3"/>
      <c r="M3" s="3"/>
    </row>
    <row r="4" spans="1:23" s="5" customFormat="1" ht="27" customHeight="1">
      <c r="A4" s="45" t="s">
        <v>128</v>
      </c>
      <c r="B4" s="710" t="s">
        <v>72</v>
      </c>
      <c r="C4" s="710"/>
      <c r="D4" s="710"/>
      <c r="E4" s="710"/>
      <c r="F4" s="710"/>
      <c r="G4" s="710"/>
      <c r="H4" s="710"/>
      <c r="I4" s="710"/>
      <c r="J4" s="710"/>
      <c r="K4" s="710"/>
      <c r="L4" s="710"/>
      <c r="M4" s="710"/>
      <c r="N4" s="710"/>
      <c r="O4" s="710"/>
      <c r="P4" s="710"/>
      <c r="Q4" s="710"/>
      <c r="R4" s="710"/>
      <c r="S4" s="710"/>
      <c r="T4" s="710"/>
      <c r="U4" s="710"/>
      <c r="V4" s="4"/>
      <c r="W4" s="4"/>
    </row>
    <row r="5" spans="1:22" s="6" customFormat="1" ht="27" customHeight="1">
      <c r="A5" s="45" t="s">
        <v>127</v>
      </c>
      <c r="B5" s="710" t="s">
        <v>73</v>
      </c>
      <c r="C5" s="710"/>
      <c r="D5" s="710"/>
      <c r="E5" s="710"/>
      <c r="F5" s="710"/>
      <c r="G5" s="710"/>
      <c r="H5" s="710"/>
      <c r="I5" s="710"/>
      <c r="J5" s="710"/>
      <c r="K5" s="710"/>
      <c r="L5" s="710"/>
      <c r="M5" s="710"/>
      <c r="N5" s="710"/>
      <c r="O5" s="710"/>
      <c r="P5" s="710"/>
      <c r="Q5" s="710"/>
      <c r="R5" s="710"/>
      <c r="S5" s="710"/>
      <c r="T5" s="710"/>
      <c r="U5" s="710"/>
      <c r="V5" s="4"/>
    </row>
    <row r="6" spans="1:21" s="6" customFormat="1" ht="27" customHeight="1">
      <c r="A6" s="45" t="s">
        <v>126</v>
      </c>
      <c r="B6" s="710" t="s">
        <v>74</v>
      </c>
      <c r="C6" s="710"/>
      <c r="D6" s="710"/>
      <c r="E6" s="710"/>
      <c r="F6" s="710"/>
      <c r="G6" s="710"/>
      <c r="H6" s="710"/>
      <c r="I6" s="710"/>
      <c r="J6" s="710"/>
      <c r="K6" s="710"/>
      <c r="L6" s="710"/>
      <c r="M6" s="710"/>
      <c r="N6" s="710"/>
      <c r="O6" s="710"/>
      <c r="P6" s="710"/>
      <c r="Q6" s="710"/>
      <c r="R6" s="710"/>
      <c r="S6" s="710"/>
      <c r="T6" s="710"/>
      <c r="U6" s="710"/>
    </row>
    <row r="7" spans="1:21" s="6" customFormat="1" ht="27" customHeight="1">
      <c r="A7" s="45" t="s">
        <v>125</v>
      </c>
      <c r="B7" s="710" t="s">
        <v>75</v>
      </c>
      <c r="C7" s="710"/>
      <c r="D7" s="710"/>
      <c r="E7" s="710"/>
      <c r="F7" s="710"/>
      <c r="G7" s="710"/>
      <c r="H7" s="710"/>
      <c r="I7" s="710"/>
      <c r="J7" s="710"/>
      <c r="K7" s="710"/>
      <c r="L7" s="710"/>
      <c r="M7" s="710"/>
      <c r="N7" s="710"/>
      <c r="O7" s="710"/>
      <c r="P7" s="710"/>
      <c r="Q7" s="710"/>
      <c r="R7" s="710"/>
      <c r="S7" s="710"/>
      <c r="T7" s="710"/>
      <c r="U7" s="710"/>
    </row>
    <row r="8" spans="1:21" s="6" customFormat="1" ht="27" customHeight="1">
      <c r="A8" s="45" t="s">
        <v>124</v>
      </c>
      <c r="B8" s="710" t="s">
        <v>76</v>
      </c>
      <c r="C8" s="710"/>
      <c r="D8" s="710"/>
      <c r="E8" s="710"/>
      <c r="F8" s="710"/>
      <c r="G8" s="710"/>
      <c r="H8" s="710"/>
      <c r="I8" s="710"/>
      <c r="J8" s="710"/>
      <c r="K8" s="710"/>
      <c r="L8" s="710"/>
      <c r="M8" s="710"/>
      <c r="N8" s="710"/>
      <c r="O8" s="710"/>
      <c r="P8" s="710"/>
      <c r="Q8" s="710"/>
      <c r="R8" s="710"/>
      <c r="S8" s="710"/>
      <c r="T8" s="710"/>
      <c r="U8" s="710"/>
    </row>
    <row r="9" spans="1:21" s="6" customFormat="1" ht="27" customHeight="1">
      <c r="A9" s="45" t="s">
        <v>123</v>
      </c>
      <c r="B9" s="710" t="s">
        <v>77</v>
      </c>
      <c r="C9" s="710"/>
      <c r="D9" s="710"/>
      <c r="E9" s="710"/>
      <c r="F9" s="710"/>
      <c r="G9" s="710"/>
      <c r="H9" s="710"/>
      <c r="I9" s="710"/>
      <c r="J9" s="710"/>
      <c r="K9" s="710"/>
      <c r="L9" s="710"/>
      <c r="M9" s="710"/>
      <c r="N9" s="710"/>
      <c r="O9" s="710"/>
      <c r="P9" s="710"/>
      <c r="Q9" s="710"/>
      <c r="R9" s="710"/>
      <c r="S9" s="710"/>
      <c r="T9" s="710"/>
      <c r="U9" s="710"/>
    </row>
    <row r="10" spans="1:21" s="6" customFormat="1" ht="27" customHeight="1">
      <c r="A10" s="45" t="s">
        <v>122</v>
      </c>
      <c r="B10" s="710" t="s">
        <v>78</v>
      </c>
      <c r="C10" s="710"/>
      <c r="D10" s="710"/>
      <c r="E10" s="710"/>
      <c r="F10" s="710"/>
      <c r="G10" s="710"/>
      <c r="H10" s="710"/>
      <c r="I10" s="710"/>
      <c r="J10" s="710"/>
      <c r="K10" s="710"/>
      <c r="L10" s="710"/>
      <c r="M10" s="710"/>
      <c r="N10" s="710"/>
      <c r="O10" s="710"/>
      <c r="P10" s="710"/>
      <c r="Q10" s="710"/>
      <c r="R10" s="710"/>
      <c r="S10" s="710"/>
      <c r="T10" s="710"/>
      <c r="U10" s="710"/>
    </row>
    <row r="11" spans="1:21" s="6" customFormat="1" ht="27" customHeight="1">
      <c r="A11" s="45" t="s">
        <v>121</v>
      </c>
      <c r="B11" s="710" t="s">
        <v>131</v>
      </c>
      <c r="C11" s="710"/>
      <c r="D11" s="710"/>
      <c r="E11" s="710"/>
      <c r="F11" s="710"/>
      <c r="G11" s="710"/>
      <c r="H11" s="710"/>
      <c r="I11" s="710"/>
      <c r="J11" s="710"/>
      <c r="K11" s="710"/>
      <c r="L11" s="710"/>
      <c r="M11" s="710"/>
      <c r="N11" s="710"/>
      <c r="O11" s="710"/>
      <c r="P11" s="710"/>
      <c r="Q11" s="710"/>
      <c r="R11" s="710"/>
      <c r="S11" s="710"/>
      <c r="T11" s="710"/>
      <c r="U11" s="710"/>
    </row>
    <row r="12" spans="1:21" s="6" customFormat="1" ht="27" customHeight="1">
      <c r="A12" s="45" t="s">
        <v>120</v>
      </c>
      <c r="B12" s="710" t="s">
        <v>129</v>
      </c>
      <c r="C12" s="710"/>
      <c r="D12" s="710"/>
      <c r="E12" s="710"/>
      <c r="F12" s="710"/>
      <c r="G12" s="710"/>
      <c r="H12" s="710"/>
      <c r="I12" s="710"/>
      <c r="J12" s="710"/>
      <c r="K12" s="710"/>
      <c r="L12" s="710"/>
      <c r="M12" s="710"/>
      <c r="N12" s="710"/>
      <c r="O12" s="710"/>
      <c r="P12" s="710"/>
      <c r="Q12" s="710"/>
      <c r="R12" s="710"/>
      <c r="S12" s="710"/>
      <c r="T12" s="710"/>
      <c r="U12" s="710"/>
    </row>
    <row r="13" spans="1:21" s="6" customFormat="1" ht="27" customHeight="1">
      <c r="A13" s="45" t="s">
        <v>119</v>
      </c>
      <c r="B13" s="710" t="s">
        <v>130</v>
      </c>
      <c r="C13" s="710"/>
      <c r="D13" s="710"/>
      <c r="E13" s="710"/>
      <c r="F13" s="710"/>
      <c r="G13" s="710"/>
      <c r="H13" s="710"/>
      <c r="I13" s="710"/>
      <c r="J13" s="710"/>
      <c r="K13" s="710"/>
      <c r="L13" s="710"/>
      <c r="M13" s="710"/>
      <c r="N13" s="710"/>
      <c r="O13" s="710"/>
      <c r="P13" s="710"/>
      <c r="Q13" s="710"/>
      <c r="R13" s="710"/>
      <c r="S13" s="710"/>
      <c r="T13" s="710"/>
      <c r="U13" s="710"/>
    </row>
    <row r="14" spans="1:21" s="7" customFormat="1" ht="27" customHeight="1">
      <c r="A14" s="52" t="s">
        <v>101</v>
      </c>
      <c r="B14" s="715" t="s">
        <v>79</v>
      </c>
      <c r="C14" s="715"/>
      <c r="D14" s="715"/>
      <c r="E14" s="715"/>
      <c r="F14" s="715"/>
      <c r="G14" s="715"/>
      <c r="H14" s="715"/>
      <c r="I14" s="715"/>
      <c r="J14" s="715"/>
      <c r="K14" s="715"/>
      <c r="L14" s="715"/>
      <c r="M14" s="715"/>
      <c r="N14" s="715"/>
      <c r="O14" s="715"/>
      <c r="P14" s="715"/>
      <c r="Q14" s="715"/>
      <c r="R14" s="715"/>
      <c r="S14" s="715"/>
      <c r="T14" s="715"/>
      <c r="U14" s="715"/>
    </row>
    <row r="15" spans="1:21" s="7" customFormat="1" ht="27" customHeight="1">
      <c r="A15" s="52" t="s">
        <v>102</v>
      </c>
      <c r="B15" s="715" t="s">
        <v>80</v>
      </c>
      <c r="C15" s="715"/>
      <c r="D15" s="715"/>
      <c r="E15" s="715"/>
      <c r="F15" s="715"/>
      <c r="G15" s="715"/>
      <c r="H15" s="715"/>
      <c r="I15" s="715"/>
      <c r="J15" s="715"/>
      <c r="K15" s="715"/>
      <c r="L15" s="715"/>
      <c r="M15" s="715"/>
      <c r="N15" s="715"/>
      <c r="O15" s="715"/>
      <c r="P15" s="715"/>
      <c r="Q15" s="715"/>
      <c r="R15" s="715"/>
      <c r="S15" s="715"/>
      <c r="T15" s="715"/>
      <c r="U15" s="715"/>
    </row>
    <row r="16" spans="1:21" s="7" customFormat="1" ht="27" customHeight="1">
      <c r="A16" s="52" t="s">
        <v>103</v>
      </c>
      <c r="B16" s="715" t="s">
        <v>81</v>
      </c>
      <c r="C16" s="715"/>
      <c r="D16" s="715"/>
      <c r="E16" s="715"/>
      <c r="F16" s="715"/>
      <c r="G16" s="715"/>
      <c r="H16" s="715"/>
      <c r="I16" s="715"/>
      <c r="J16" s="715"/>
      <c r="K16" s="715"/>
      <c r="L16" s="715"/>
      <c r="M16" s="715"/>
      <c r="N16" s="715"/>
      <c r="O16" s="715"/>
      <c r="P16" s="715"/>
      <c r="Q16" s="715"/>
      <c r="R16" s="715"/>
      <c r="S16" s="715"/>
      <c r="T16" s="715"/>
      <c r="U16" s="715"/>
    </row>
    <row r="17" spans="1:21" s="8" customFormat="1" ht="27" customHeight="1">
      <c r="A17" s="34" t="s">
        <v>104</v>
      </c>
      <c r="B17" s="714" t="s">
        <v>82</v>
      </c>
      <c r="C17" s="714"/>
      <c r="D17" s="714"/>
      <c r="E17" s="714"/>
      <c r="F17" s="714"/>
      <c r="G17" s="714"/>
      <c r="H17" s="714"/>
      <c r="I17" s="714"/>
      <c r="J17" s="714"/>
      <c r="K17" s="714"/>
      <c r="L17" s="714"/>
      <c r="M17" s="714"/>
      <c r="N17" s="714"/>
      <c r="O17" s="714"/>
      <c r="P17" s="714"/>
      <c r="Q17" s="714"/>
      <c r="R17" s="714"/>
      <c r="S17" s="714"/>
      <c r="T17" s="714"/>
      <c r="U17" s="714"/>
    </row>
    <row r="18" spans="1:21" s="9" customFormat="1" ht="35.25" customHeight="1">
      <c r="A18" s="34" t="s">
        <v>118</v>
      </c>
      <c r="B18" s="714" t="s">
        <v>83</v>
      </c>
      <c r="C18" s="714"/>
      <c r="D18" s="714"/>
      <c r="E18" s="714"/>
      <c r="F18" s="714"/>
      <c r="G18" s="714"/>
      <c r="H18" s="714"/>
      <c r="I18" s="714"/>
      <c r="J18" s="714"/>
      <c r="K18" s="714"/>
      <c r="L18" s="714"/>
      <c r="M18" s="714"/>
      <c r="N18" s="714"/>
      <c r="O18" s="714"/>
      <c r="P18" s="714"/>
      <c r="Q18" s="714"/>
      <c r="R18" s="714"/>
      <c r="S18" s="714"/>
      <c r="T18" s="714"/>
      <c r="U18" s="714"/>
    </row>
    <row r="19" spans="1:21" s="10" customFormat="1" ht="27" customHeight="1">
      <c r="A19" s="32" t="s">
        <v>105</v>
      </c>
      <c r="B19" s="713" t="s">
        <v>84</v>
      </c>
      <c r="C19" s="713"/>
      <c r="D19" s="713"/>
      <c r="E19" s="713"/>
      <c r="F19" s="713"/>
      <c r="G19" s="713"/>
      <c r="H19" s="713"/>
      <c r="I19" s="713"/>
      <c r="J19" s="713"/>
      <c r="K19" s="713"/>
      <c r="L19" s="713"/>
      <c r="M19" s="713"/>
      <c r="N19" s="713"/>
      <c r="O19" s="713"/>
      <c r="P19" s="713"/>
      <c r="Q19" s="713"/>
      <c r="R19" s="713"/>
      <c r="S19" s="713"/>
      <c r="T19" s="713"/>
      <c r="U19" s="713"/>
    </row>
    <row r="20" spans="1:21" s="9" customFormat="1" ht="27" customHeight="1">
      <c r="A20" s="32" t="s">
        <v>117</v>
      </c>
      <c r="B20" s="713" t="s">
        <v>85</v>
      </c>
      <c r="C20" s="713"/>
      <c r="D20" s="713"/>
      <c r="E20" s="713"/>
      <c r="F20" s="713"/>
      <c r="G20" s="713"/>
      <c r="H20" s="713"/>
      <c r="I20" s="713"/>
      <c r="J20" s="713"/>
      <c r="K20" s="713"/>
      <c r="L20" s="713"/>
      <c r="M20" s="713"/>
      <c r="N20" s="713"/>
      <c r="O20" s="713"/>
      <c r="P20" s="713"/>
      <c r="Q20" s="713"/>
      <c r="R20" s="713"/>
      <c r="S20" s="713"/>
      <c r="T20" s="713"/>
      <c r="U20" s="713"/>
    </row>
    <row r="21" spans="1:21" s="10" customFormat="1" ht="27" customHeight="1">
      <c r="A21" s="32" t="s">
        <v>116</v>
      </c>
      <c r="B21" s="716" t="s">
        <v>84</v>
      </c>
      <c r="C21" s="716"/>
      <c r="D21" s="716"/>
      <c r="E21" s="716"/>
      <c r="F21" s="716"/>
      <c r="G21" s="716"/>
      <c r="H21" s="716"/>
      <c r="I21" s="716"/>
      <c r="J21" s="716"/>
      <c r="K21" s="716"/>
      <c r="L21" s="716"/>
      <c r="M21" s="716"/>
      <c r="N21" s="716"/>
      <c r="O21" s="716"/>
      <c r="P21" s="716"/>
      <c r="Q21" s="716"/>
      <c r="R21" s="716"/>
      <c r="S21" s="716"/>
      <c r="T21" s="716"/>
      <c r="U21" s="716"/>
    </row>
    <row r="22" spans="1:21" s="9" customFormat="1" ht="27" customHeight="1">
      <c r="A22" s="32" t="s">
        <v>115</v>
      </c>
      <c r="B22" s="713" t="s">
        <v>86</v>
      </c>
      <c r="C22" s="713"/>
      <c r="D22" s="713"/>
      <c r="E22" s="713"/>
      <c r="F22" s="713"/>
      <c r="G22" s="713"/>
      <c r="H22" s="713"/>
      <c r="I22" s="713"/>
      <c r="J22" s="713"/>
      <c r="K22" s="713"/>
      <c r="L22" s="713"/>
      <c r="M22" s="713"/>
      <c r="N22" s="713"/>
      <c r="O22" s="713"/>
      <c r="P22" s="713"/>
      <c r="Q22" s="713"/>
      <c r="R22" s="713"/>
      <c r="S22" s="713"/>
      <c r="T22" s="713"/>
      <c r="U22" s="713"/>
    </row>
    <row r="23" spans="1:21" s="10" customFormat="1" ht="27" customHeight="1">
      <c r="A23" s="32" t="s">
        <v>114</v>
      </c>
      <c r="B23" s="713" t="s">
        <v>87</v>
      </c>
      <c r="C23" s="713"/>
      <c r="D23" s="713"/>
      <c r="E23" s="713"/>
      <c r="F23" s="713"/>
      <c r="G23" s="713"/>
      <c r="H23" s="713"/>
      <c r="I23" s="713"/>
      <c r="J23" s="713"/>
      <c r="K23" s="713"/>
      <c r="L23" s="713"/>
      <c r="M23" s="713"/>
      <c r="N23" s="713"/>
      <c r="O23" s="713"/>
      <c r="P23" s="713"/>
      <c r="Q23" s="713"/>
      <c r="R23" s="713"/>
      <c r="S23" s="713"/>
      <c r="T23" s="713"/>
      <c r="U23" s="713"/>
    </row>
    <row r="24" spans="1:21" s="11" customFormat="1" ht="27" customHeight="1">
      <c r="A24" s="32" t="s">
        <v>113</v>
      </c>
      <c r="B24" s="713" t="s">
        <v>88</v>
      </c>
      <c r="C24" s="713"/>
      <c r="D24" s="713"/>
      <c r="E24" s="713"/>
      <c r="F24" s="713"/>
      <c r="G24" s="713"/>
      <c r="H24" s="713"/>
      <c r="I24" s="713"/>
      <c r="J24" s="713"/>
      <c r="K24" s="713"/>
      <c r="L24" s="713"/>
      <c r="M24" s="713"/>
      <c r="N24" s="713"/>
      <c r="O24" s="713"/>
      <c r="P24" s="713"/>
      <c r="Q24" s="713"/>
      <c r="R24" s="713"/>
      <c r="S24" s="713"/>
      <c r="T24" s="713"/>
      <c r="U24" s="713"/>
    </row>
    <row r="25" spans="1:21" s="11" customFormat="1" ht="27" customHeight="1">
      <c r="A25" s="32" t="s">
        <v>112</v>
      </c>
      <c r="B25" s="713" t="s">
        <v>89</v>
      </c>
      <c r="C25" s="713"/>
      <c r="D25" s="713"/>
      <c r="E25" s="713"/>
      <c r="F25" s="713"/>
      <c r="G25" s="713"/>
      <c r="H25" s="713"/>
      <c r="I25" s="713"/>
      <c r="J25" s="713"/>
      <c r="K25" s="713"/>
      <c r="L25" s="713"/>
      <c r="M25" s="713"/>
      <c r="N25" s="713"/>
      <c r="O25" s="713"/>
      <c r="P25" s="713"/>
      <c r="Q25" s="713"/>
      <c r="R25" s="713"/>
      <c r="S25" s="713"/>
      <c r="T25" s="713"/>
      <c r="U25" s="713"/>
    </row>
    <row r="26" spans="1:21" s="10" customFormat="1" ht="27" customHeight="1">
      <c r="A26" s="32" t="s">
        <v>111</v>
      </c>
      <c r="B26" s="713" t="s">
        <v>90</v>
      </c>
      <c r="C26" s="713"/>
      <c r="D26" s="713"/>
      <c r="E26" s="713"/>
      <c r="F26" s="713"/>
      <c r="G26" s="713"/>
      <c r="H26" s="713"/>
      <c r="I26" s="713"/>
      <c r="J26" s="713"/>
      <c r="K26" s="713"/>
      <c r="L26" s="713"/>
      <c r="M26" s="713"/>
      <c r="N26" s="713"/>
      <c r="O26" s="713"/>
      <c r="P26" s="713"/>
      <c r="Q26" s="713"/>
      <c r="R26" s="713"/>
      <c r="S26" s="713"/>
      <c r="T26" s="713"/>
      <c r="U26" s="713"/>
    </row>
    <row r="27" spans="1:21" s="9" customFormat="1" ht="27" customHeight="1">
      <c r="A27" s="32" t="s">
        <v>110</v>
      </c>
      <c r="B27" s="713" t="s">
        <v>90</v>
      </c>
      <c r="C27" s="713"/>
      <c r="D27" s="713"/>
      <c r="E27" s="713"/>
      <c r="F27" s="713"/>
      <c r="G27" s="713"/>
      <c r="H27" s="713"/>
      <c r="I27" s="713"/>
      <c r="J27" s="713"/>
      <c r="K27" s="713"/>
      <c r="L27" s="713"/>
      <c r="M27" s="713"/>
      <c r="N27" s="713"/>
      <c r="O27" s="713"/>
      <c r="P27" s="713"/>
      <c r="Q27" s="713"/>
      <c r="R27" s="713"/>
      <c r="S27" s="713"/>
      <c r="T27" s="713"/>
      <c r="U27" s="713"/>
    </row>
    <row r="28" spans="1:21" s="9" customFormat="1" ht="27" customHeight="1">
      <c r="A28" s="32" t="s">
        <v>109</v>
      </c>
      <c r="B28" s="713" t="s">
        <v>91</v>
      </c>
      <c r="C28" s="713"/>
      <c r="D28" s="713"/>
      <c r="E28" s="713"/>
      <c r="F28" s="713"/>
      <c r="G28" s="713"/>
      <c r="H28" s="713"/>
      <c r="I28" s="713"/>
      <c r="J28" s="713"/>
      <c r="K28" s="713"/>
      <c r="L28" s="713"/>
      <c r="M28" s="713"/>
      <c r="N28" s="713"/>
      <c r="O28" s="713"/>
      <c r="P28" s="713"/>
      <c r="Q28" s="713"/>
      <c r="R28" s="713"/>
      <c r="S28" s="713"/>
      <c r="T28" s="713"/>
      <c r="U28" s="713"/>
    </row>
    <row r="29" spans="1:21" s="9" customFormat="1" ht="27" customHeight="1">
      <c r="A29" s="32" t="s">
        <v>106</v>
      </c>
      <c r="B29" s="713" t="s">
        <v>92</v>
      </c>
      <c r="C29" s="713"/>
      <c r="D29" s="713"/>
      <c r="E29" s="713"/>
      <c r="F29" s="713"/>
      <c r="G29" s="713"/>
      <c r="H29" s="713"/>
      <c r="I29" s="713"/>
      <c r="J29" s="713"/>
      <c r="K29" s="713"/>
      <c r="L29" s="713"/>
      <c r="M29" s="713"/>
      <c r="N29" s="713"/>
      <c r="O29" s="713"/>
      <c r="P29" s="713"/>
      <c r="Q29" s="713"/>
      <c r="R29" s="713"/>
      <c r="S29" s="713"/>
      <c r="T29" s="713"/>
      <c r="U29" s="713"/>
    </row>
    <row r="30" spans="1:21" s="10" customFormat="1" ht="27" customHeight="1">
      <c r="A30" s="32" t="s">
        <v>107</v>
      </c>
      <c r="B30" s="713" t="s">
        <v>93</v>
      </c>
      <c r="C30" s="713"/>
      <c r="D30" s="713"/>
      <c r="E30" s="713"/>
      <c r="F30" s="713"/>
      <c r="G30" s="713"/>
      <c r="H30" s="713"/>
      <c r="I30" s="713"/>
      <c r="J30" s="713"/>
      <c r="K30" s="713"/>
      <c r="L30" s="713"/>
      <c r="M30" s="713"/>
      <c r="N30" s="713"/>
      <c r="O30" s="713"/>
      <c r="P30" s="713"/>
      <c r="Q30" s="713"/>
      <c r="R30" s="713"/>
      <c r="S30" s="713"/>
      <c r="T30" s="713"/>
      <c r="U30" s="713"/>
    </row>
    <row r="31" spans="1:21" s="10" customFormat="1" ht="27" customHeight="1">
      <c r="A31" s="32" t="s">
        <v>108</v>
      </c>
      <c r="B31" s="713" t="s">
        <v>94</v>
      </c>
      <c r="C31" s="713"/>
      <c r="D31" s="713"/>
      <c r="E31" s="713"/>
      <c r="F31" s="713"/>
      <c r="G31" s="713"/>
      <c r="H31" s="713"/>
      <c r="I31" s="713"/>
      <c r="J31" s="713"/>
      <c r="K31" s="713"/>
      <c r="L31" s="713"/>
      <c r="M31" s="713"/>
      <c r="N31" s="713"/>
      <c r="O31" s="713"/>
      <c r="P31" s="713"/>
      <c r="Q31" s="713"/>
      <c r="R31" s="713"/>
      <c r="S31" s="713"/>
      <c r="T31" s="713"/>
      <c r="U31" s="713"/>
    </row>
    <row r="32" spans="1:21" s="10" customFormat="1" ht="27" customHeight="1">
      <c r="A32" s="32" t="s">
        <v>100</v>
      </c>
      <c r="B32" s="713" t="s">
        <v>95</v>
      </c>
      <c r="C32" s="713"/>
      <c r="D32" s="713"/>
      <c r="E32" s="713"/>
      <c r="F32" s="713"/>
      <c r="G32" s="713"/>
      <c r="H32" s="713"/>
      <c r="I32" s="713"/>
      <c r="J32" s="713"/>
      <c r="K32" s="713"/>
      <c r="L32" s="713"/>
      <c r="M32" s="713"/>
      <c r="N32" s="713"/>
      <c r="O32" s="713"/>
      <c r="P32" s="713"/>
      <c r="Q32" s="713"/>
      <c r="R32" s="713"/>
      <c r="S32" s="713"/>
      <c r="T32" s="713"/>
      <c r="U32" s="713"/>
    </row>
    <row r="33" spans="1:21" s="10" customFormat="1" ht="27" customHeight="1">
      <c r="A33" s="32" t="s">
        <v>99</v>
      </c>
      <c r="B33" s="713" t="s">
        <v>96</v>
      </c>
      <c r="C33" s="713"/>
      <c r="D33" s="713"/>
      <c r="E33" s="713"/>
      <c r="F33" s="713"/>
      <c r="G33" s="713"/>
      <c r="H33" s="713"/>
      <c r="I33" s="713"/>
      <c r="J33" s="713"/>
      <c r="K33" s="713"/>
      <c r="L33" s="713"/>
      <c r="M33" s="713"/>
      <c r="N33" s="713"/>
      <c r="O33" s="713"/>
      <c r="P33" s="713"/>
      <c r="Q33" s="713"/>
      <c r="R33" s="713"/>
      <c r="S33" s="713"/>
      <c r="T33" s="713"/>
      <c r="U33" s="713"/>
    </row>
    <row r="34" spans="1:21" ht="27" customHeight="1">
      <c r="A34" s="35" t="s">
        <v>98</v>
      </c>
      <c r="B34" s="717" t="s">
        <v>97</v>
      </c>
      <c r="C34" s="717"/>
      <c r="D34" s="717"/>
      <c r="E34" s="717"/>
      <c r="F34" s="717"/>
      <c r="G34" s="717"/>
      <c r="H34" s="717"/>
      <c r="I34" s="717"/>
      <c r="J34" s="717"/>
      <c r="K34" s="717"/>
      <c r="L34" s="717"/>
      <c r="M34" s="717"/>
      <c r="N34" s="717"/>
      <c r="O34" s="717"/>
      <c r="P34" s="717"/>
      <c r="Q34" s="717"/>
      <c r="R34" s="717"/>
      <c r="S34" s="717"/>
      <c r="T34" s="717"/>
      <c r="U34" s="717"/>
    </row>
  </sheetData>
  <sheetProtection/>
  <mergeCells count="33">
    <mergeCell ref="B34:U34"/>
    <mergeCell ref="B33:U33"/>
    <mergeCell ref="B30:U30"/>
    <mergeCell ref="B31:U31"/>
    <mergeCell ref="B32:U32"/>
    <mergeCell ref="B29:U29"/>
    <mergeCell ref="B15:U15"/>
    <mergeCell ref="B16:U16"/>
    <mergeCell ref="B26:U26"/>
    <mergeCell ref="B24:U24"/>
    <mergeCell ref="B21:U21"/>
    <mergeCell ref="B19:U19"/>
    <mergeCell ref="B25:U25"/>
    <mergeCell ref="B9:U9"/>
    <mergeCell ref="B10:U10"/>
    <mergeCell ref="B27:U27"/>
    <mergeCell ref="B28:U28"/>
    <mergeCell ref="B17:U17"/>
    <mergeCell ref="B18:U18"/>
    <mergeCell ref="B20:U20"/>
    <mergeCell ref="B22:U22"/>
    <mergeCell ref="B23:U23"/>
    <mergeCell ref="B14:U14"/>
    <mergeCell ref="B11:U11"/>
    <mergeCell ref="B12:U12"/>
    <mergeCell ref="A1:U1"/>
    <mergeCell ref="B13:U13"/>
    <mergeCell ref="B4:U4"/>
    <mergeCell ref="B5:U5"/>
    <mergeCell ref="B6:U6"/>
    <mergeCell ref="B7:U7"/>
    <mergeCell ref="A2:U2"/>
    <mergeCell ref="B8:U8"/>
  </mergeCells>
  <printOptions/>
  <pageMargins left="0.5905511811023623" right="0" top="0.5511811023622047" bottom="0.5511811023622047"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tabColor rgb="FF92D050"/>
  </sheetPr>
  <dimension ref="A1:K290"/>
  <sheetViews>
    <sheetView zoomScalePageLayoutView="0" workbookViewId="0" topLeftCell="A76">
      <selection activeCell="F117" sqref="F117"/>
    </sheetView>
  </sheetViews>
  <sheetFormatPr defaultColWidth="9.140625" defaultRowHeight="12.75"/>
  <cols>
    <col min="1" max="1" width="20.8515625" style="14" customWidth="1"/>
    <col min="2" max="9" width="9.140625" style="14" customWidth="1"/>
    <col min="10" max="10" width="11.8515625" style="14" bestFit="1" customWidth="1"/>
    <col min="11" max="16384" width="9.140625" style="14" customWidth="1"/>
  </cols>
  <sheetData>
    <row r="1" spans="1:4" ht="55.5" customHeight="1">
      <c r="A1" s="792" t="s">
        <v>302</v>
      </c>
      <c r="B1" s="792"/>
      <c r="C1" s="792"/>
      <c r="D1" s="792"/>
    </row>
    <row r="2" spans="1:4" ht="12">
      <c r="A2" s="119" t="s">
        <v>0</v>
      </c>
      <c r="B2" s="793" t="s">
        <v>12</v>
      </c>
      <c r="C2" s="794"/>
      <c r="D2" s="795"/>
    </row>
    <row r="3" spans="1:4" ht="24">
      <c r="A3" s="120"/>
      <c r="B3" s="121" t="s">
        <v>1</v>
      </c>
      <c r="C3" s="121" t="s">
        <v>2</v>
      </c>
      <c r="D3" s="121" t="s">
        <v>228</v>
      </c>
    </row>
    <row r="4" spans="1:5" ht="12">
      <c r="A4" s="122" t="s">
        <v>215</v>
      </c>
      <c r="B4" s="39">
        <v>2013</v>
      </c>
      <c r="C4" s="39">
        <v>660</v>
      </c>
      <c r="D4" s="39">
        <v>4845</v>
      </c>
      <c r="E4" s="322"/>
    </row>
    <row r="5" spans="1:5" ht="12">
      <c r="A5" s="123" t="s">
        <v>216</v>
      </c>
      <c r="B5" s="39">
        <v>11003</v>
      </c>
      <c r="C5" s="39">
        <v>6893</v>
      </c>
      <c r="D5" s="39">
        <v>20900</v>
      </c>
      <c r="E5" s="322"/>
    </row>
    <row r="6" spans="1:5" ht="12">
      <c r="A6" s="124" t="s">
        <v>217</v>
      </c>
      <c r="B6" s="39">
        <v>3226</v>
      </c>
      <c r="C6" s="39">
        <v>3297</v>
      </c>
      <c r="D6" s="39">
        <v>6844</v>
      </c>
      <c r="E6" s="322"/>
    </row>
    <row r="7" spans="1:4" ht="12">
      <c r="A7" s="568" t="s">
        <v>218</v>
      </c>
      <c r="B7" s="572">
        <v>6668</v>
      </c>
      <c r="C7" s="572">
        <v>8161</v>
      </c>
      <c r="D7" s="572">
        <v>9930</v>
      </c>
    </row>
    <row r="8" spans="1:6" ht="12">
      <c r="A8" s="278" t="s">
        <v>5</v>
      </c>
      <c r="B8" s="279">
        <f>SUM(B4:B7)</f>
        <v>22910</v>
      </c>
      <c r="C8" s="279">
        <f>SUM(C4:C7)</f>
        <v>19011</v>
      </c>
      <c r="D8" s="279">
        <f>SUM(D4:D7)</f>
        <v>42519</v>
      </c>
      <c r="F8" s="280"/>
    </row>
    <row r="9" ht="12">
      <c r="A9" s="14" t="s">
        <v>488</v>
      </c>
    </row>
    <row r="40" spans="1:11" ht="12">
      <c r="A40" s="796" t="s">
        <v>229</v>
      </c>
      <c r="B40" s="796"/>
      <c r="C40" s="796"/>
      <c r="D40" s="796"/>
      <c r="E40" s="796"/>
      <c r="F40" s="796"/>
      <c r="G40" s="796"/>
      <c r="H40" s="796"/>
      <c r="I40" s="796"/>
      <c r="J40" s="796"/>
      <c r="K40" s="796"/>
    </row>
    <row r="42" spans="1:11" ht="24.75" thickBot="1">
      <c r="A42" s="125"/>
      <c r="B42" s="126" t="s">
        <v>231</v>
      </c>
      <c r="C42" s="126" t="s">
        <v>230</v>
      </c>
      <c r="D42" s="126" t="s">
        <v>235</v>
      </c>
      <c r="E42" s="126" t="s">
        <v>230</v>
      </c>
      <c r="F42" s="126" t="s">
        <v>284</v>
      </c>
      <c r="G42" s="126" t="s">
        <v>230</v>
      </c>
      <c r="H42" s="126" t="s">
        <v>301</v>
      </c>
      <c r="I42" s="126" t="s">
        <v>230</v>
      </c>
      <c r="J42" s="458" t="s">
        <v>372</v>
      </c>
      <c r="K42" s="126" t="s">
        <v>230</v>
      </c>
    </row>
    <row r="43" spans="1:11" ht="12.75" thickTop="1">
      <c r="A43" s="127" t="s">
        <v>232</v>
      </c>
      <c r="B43" s="387">
        <v>14725</v>
      </c>
      <c r="C43" s="388">
        <v>-0.189</v>
      </c>
      <c r="D43" s="387">
        <v>14301</v>
      </c>
      <c r="E43" s="388">
        <v>-0.138</v>
      </c>
      <c r="F43" s="691">
        <v>14121</v>
      </c>
      <c r="G43" s="388">
        <v>-0.012586532410320957</v>
      </c>
      <c r="H43" s="692">
        <v>12769</v>
      </c>
      <c r="I43" s="129">
        <f>(H43-F43)/F43</f>
        <v>-0.09574392748388924</v>
      </c>
      <c r="J43" s="692">
        <v>22910</v>
      </c>
      <c r="K43" s="129">
        <f>(J43-H43)/H43</f>
        <v>0.7941890516093665</v>
      </c>
    </row>
    <row r="44" spans="1:11" ht="12">
      <c r="A44" s="127" t="s">
        <v>233</v>
      </c>
      <c r="B44" s="387">
        <v>16108</v>
      </c>
      <c r="C44" s="388">
        <v>-0.0265</v>
      </c>
      <c r="D44" s="387">
        <v>14538</v>
      </c>
      <c r="E44" s="388">
        <v>-0.1561</v>
      </c>
      <c r="F44" s="691">
        <v>14318</v>
      </c>
      <c r="G44" s="388">
        <v>-0.015132755537212822</v>
      </c>
      <c r="H44" s="692">
        <v>15811</v>
      </c>
      <c r="I44" s="129">
        <f>(H44-F44)/F44</f>
        <v>0.10427433999161895</v>
      </c>
      <c r="J44" s="692">
        <v>19011</v>
      </c>
      <c r="K44" s="129">
        <f>(J44-H44)/H44</f>
        <v>0.20239074062361648</v>
      </c>
    </row>
    <row r="45" spans="1:11" ht="12">
      <c r="A45" s="127" t="s">
        <v>234</v>
      </c>
      <c r="B45" s="387">
        <v>46649</v>
      </c>
      <c r="C45" s="388">
        <v>-0.0296</v>
      </c>
      <c r="D45" s="387">
        <v>44175</v>
      </c>
      <c r="E45" s="388">
        <v>-0.1788</v>
      </c>
      <c r="F45" s="691">
        <v>46151</v>
      </c>
      <c r="G45" s="388">
        <v>0.044731182795698925</v>
      </c>
      <c r="H45" s="692">
        <v>42552</v>
      </c>
      <c r="I45" s="129">
        <f>(H45-F45)/F45</f>
        <v>-0.07798314229377479</v>
      </c>
      <c r="J45" s="692">
        <v>42519</v>
      </c>
      <c r="K45" s="129">
        <f>(J45-H45)/H45</f>
        <v>-0.000775521714608009</v>
      </c>
    </row>
    <row r="47" spans="1:7" ht="12">
      <c r="A47" s="797"/>
      <c r="B47" s="797"/>
      <c r="C47" s="797"/>
      <c r="D47" s="797"/>
      <c r="E47" s="797"/>
      <c r="F47" s="797"/>
      <c r="G47" s="797"/>
    </row>
    <row r="49" spans="1:6" ht="24.75" thickBot="1">
      <c r="A49" s="125"/>
      <c r="B49" s="126" t="s">
        <v>231</v>
      </c>
      <c r="C49" s="126" t="s">
        <v>235</v>
      </c>
      <c r="D49" s="126" t="s">
        <v>284</v>
      </c>
      <c r="E49" s="126" t="s">
        <v>301</v>
      </c>
      <c r="F49" s="458" t="s">
        <v>373</v>
      </c>
    </row>
    <row r="50" spans="1:6" ht="12.75" thickTop="1">
      <c r="A50" s="127" t="s">
        <v>232</v>
      </c>
      <c r="B50" s="387">
        <v>14725</v>
      </c>
      <c r="C50" s="387">
        <v>14301</v>
      </c>
      <c r="D50" s="691">
        <v>14121</v>
      </c>
      <c r="E50" s="692">
        <v>12769</v>
      </c>
      <c r="F50" s="692">
        <v>22910</v>
      </c>
    </row>
    <row r="51" spans="1:6" ht="12">
      <c r="A51" s="127" t="s">
        <v>233</v>
      </c>
      <c r="B51" s="387">
        <v>16108</v>
      </c>
      <c r="C51" s="387">
        <v>14538</v>
      </c>
      <c r="D51" s="691">
        <v>14318</v>
      </c>
      <c r="E51" s="692">
        <v>15811</v>
      </c>
      <c r="F51" s="692">
        <v>19011</v>
      </c>
    </row>
    <row r="52" spans="1:6" ht="12">
      <c r="A52" s="127" t="s">
        <v>234</v>
      </c>
      <c r="B52" s="387">
        <v>46649</v>
      </c>
      <c r="C52" s="387">
        <v>44175</v>
      </c>
      <c r="D52" s="691">
        <v>46151</v>
      </c>
      <c r="E52" s="692">
        <v>42552</v>
      </c>
      <c r="F52" s="692">
        <v>42519</v>
      </c>
    </row>
    <row r="82" spans="1:11" ht="12">
      <c r="A82" s="792" t="s">
        <v>236</v>
      </c>
      <c r="B82" s="792"/>
      <c r="C82" s="792"/>
      <c r="D82" s="792"/>
      <c r="E82" s="792"/>
      <c r="F82" s="792"/>
      <c r="G82" s="792"/>
      <c r="H82" s="792"/>
      <c r="I82" s="792"/>
      <c r="J82" s="792"/>
      <c r="K82" s="792"/>
    </row>
    <row r="83" spans="1:11" ht="24.75" thickBot="1">
      <c r="A83" s="125"/>
      <c r="B83" s="126" t="s">
        <v>231</v>
      </c>
      <c r="C83" s="126" t="s">
        <v>230</v>
      </c>
      <c r="D83" s="126" t="s">
        <v>235</v>
      </c>
      <c r="E83" s="126" t="s">
        <v>230</v>
      </c>
      <c r="F83" s="126" t="s">
        <v>284</v>
      </c>
      <c r="G83" s="126" t="s">
        <v>230</v>
      </c>
      <c r="H83" s="126" t="s">
        <v>301</v>
      </c>
      <c r="I83" s="126" t="s">
        <v>230</v>
      </c>
      <c r="J83" s="458" t="s">
        <v>373</v>
      </c>
      <c r="K83" s="126" t="s">
        <v>230</v>
      </c>
    </row>
    <row r="84" spans="1:11" ht="12.75" thickTop="1">
      <c r="A84" s="130" t="s">
        <v>232</v>
      </c>
      <c r="B84" s="389">
        <v>4945</v>
      </c>
      <c r="C84" s="390">
        <v>0.0519</v>
      </c>
      <c r="D84" s="389">
        <v>5751</v>
      </c>
      <c r="E84" s="390">
        <v>0.1039</v>
      </c>
      <c r="F84" s="389">
        <v>6698</v>
      </c>
      <c r="G84" s="390">
        <v>0.16466701443227263</v>
      </c>
      <c r="H84" s="386">
        <v>4677</v>
      </c>
      <c r="I84" s="132">
        <f>(H84-F84)/F84</f>
        <v>-0.30173186025679305</v>
      </c>
      <c r="J84" s="386">
        <v>4637</v>
      </c>
      <c r="K84" s="132">
        <f>(J84-H84)/H84</f>
        <v>-0.008552490912978406</v>
      </c>
    </row>
    <row r="85" spans="1:11" ht="12">
      <c r="A85" s="130" t="s">
        <v>233</v>
      </c>
      <c r="B85" s="389">
        <v>4090</v>
      </c>
      <c r="C85" s="390">
        <v>0.0344</v>
      </c>
      <c r="D85" s="389">
        <v>4009</v>
      </c>
      <c r="E85" s="390">
        <v>-0.1068</v>
      </c>
      <c r="F85" s="389">
        <v>4191</v>
      </c>
      <c r="G85" s="390">
        <v>0.04539785482664006</v>
      </c>
      <c r="H85" s="385">
        <v>4047</v>
      </c>
      <c r="I85" s="132">
        <f>(H85-F85)/F85</f>
        <v>-0.03435934144595562</v>
      </c>
      <c r="J85" s="385">
        <v>4034</v>
      </c>
      <c r="K85" s="132">
        <f>(J85-H85)/H85</f>
        <v>-0.0032122559920929085</v>
      </c>
    </row>
    <row r="86" spans="1:11" ht="12">
      <c r="A86" s="133" t="s">
        <v>234</v>
      </c>
      <c r="B86" s="391">
        <v>12941</v>
      </c>
      <c r="C86" s="392">
        <v>0.0707</v>
      </c>
      <c r="D86" s="391">
        <v>14705</v>
      </c>
      <c r="E86" s="392">
        <v>0.0743</v>
      </c>
      <c r="F86" s="391">
        <v>17221</v>
      </c>
      <c r="G86" s="393">
        <v>0.17109826589595376</v>
      </c>
      <c r="H86" s="134">
        <v>17851</v>
      </c>
      <c r="I86" s="228">
        <f>(H86-F86)/F86</f>
        <v>0.036583241391324545</v>
      </c>
      <c r="J86" s="134">
        <v>18454</v>
      </c>
      <c r="K86" s="228">
        <f>(J86-H86)/H86</f>
        <v>0.03377962018934513</v>
      </c>
    </row>
    <row r="87" spans="1:11" ht="12">
      <c r="A87" s="18"/>
      <c r="B87" s="18"/>
      <c r="C87" s="18"/>
      <c r="D87" s="18"/>
      <c r="E87" s="18"/>
      <c r="F87" s="18"/>
      <c r="G87" s="18"/>
      <c r="H87" s="18"/>
      <c r="I87" s="18"/>
      <c r="J87" s="18"/>
      <c r="K87" s="18"/>
    </row>
    <row r="88" spans="1:11" ht="12">
      <c r="A88" s="18"/>
      <c r="B88" s="18"/>
      <c r="C88" s="18"/>
      <c r="D88" s="18"/>
      <c r="E88" s="18"/>
      <c r="F88" s="18"/>
      <c r="G88" s="18"/>
      <c r="H88" s="18"/>
      <c r="I88" s="18"/>
      <c r="J88" s="18"/>
      <c r="K88" s="18"/>
    </row>
    <row r="89" spans="1:11" ht="12" customHeight="1">
      <c r="A89" s="288"/>
      <c r="B89" s="288"/>
      <c r="C89" s="288"/>
      <c r="D89" s="288"/>
      <c r="E89" s="288"/>
      <c r="F89" s="288"/>
      <c r="G89" s="288"/>
      <c r="H89" s="18"/>
      <c r="I89" s="18"/>
      <c r="J89" s="18"/>
      <c r="K89" s="18"/>
    </row>
    <row r="90" spans="1:11" ht="12">
      <c r="A90" s="18"/>
      <c r="B90" s="18"/>
      <c r="C90" s="18"/>
      <c r="D90" s="18"/>
      <c r="E90" s="18"/>
      <c r="F90" s="18"/>
      <c r="G90" s="18"/>
      <c r="H90" s="18"/>
      <c r="I90" s="18"/>
      <c r="J90" s="18"/>
      <c r="K90" s="18"/>
    </row>
    <row r="91" spans="1:11" ht="24.75" thickBot="1">
      <c r="A91" s="125"/>
      <c r="B91" s="126" t="s">
        <v>231</v>
      </c>
      <c r="C91" s="126" t="s">
        <v>235</v>
      </c>
      <c r="D91" s="126" t="s">
        <v>284</v>
      </c>
      <c r="E91" s="126" t="s">
        <v>301</v>
      </c>
      <c r="F91" s="458" t="s">
        <v>373</v>
      </c>
      <c r="G91" s="18"/>
      <c r="H91" s="18"/>
      <c r="I91" s="18"/>
      <c r="J91" s="18"/>
      <c r="K91" s="135"/>
    </row>
    <row r="92" spans="1:11" ht="12.75" thickTop="1">
      <c r="A92" s="130" t="s">
        <v>232</v>
      </c>
      <c r="B92" s="389">
        <v>4945</v>
      </c>
      <c r="C92" s="389">
        <v>5751</v>
      </c>
      <c r="D92" s="389">
        <v>6698</v>
      </c>
      <c r="E92" s="131">
        <v>4677</v>
      </c>
      <c r="F92" s="131">
        <v>4637</v>
      </c>
      <c r="G92" s="18"/>
      <c r="H92" s="18"/>
      <c r="I92" s="18"/>
      <c r="J92" s="18"/>
      <c r="K92" s="136"/>
    </row>
    <row r="93" spans="1:11" ht="12">
      <c r="A93" s="130" t="s">
        <v>233</v>
      </c>
      <c r="B93" s="389">
        <v>4090</v>
      </c>
      <c r="C93" s="389">
        <v>4009</v>
      </c>
      <c r="D93" s="389">
        <v>4191</v>
      </c>
      <c r="E93" s="131">
        <v>4047</v>
      </c>
      <c r="F93" s="131">
        <v>4034</v>
      </c>
      <c r="G93" s="18"/>
      <c r="H93" s="18"/>
      <c r="I93" s="18"/>
      <c r="J93" s="18"/>
      <c r="K93" s="136"/>
    </row>
    <row r="94" spans="1:11" ht="12">
      <c r="A94" s="133" t="s">
        <v>234</v>
      </c>
      <c r="B94" s="391">
        <v>12941</v>
      </c>
      <c r="C94" s="391">
        <v>14705</v>
      </c>
      <c r="D94" s="391">
        <v>17221</v>
      </c>
      <c r="E94" s="134">
        <v>17851</v>
      </c>
      <c r="F94" s="134">
        <v>18454</v>
      </c>
      <c r="G94" s="18"/>
      <c r="H94" s="18"/>
      <c r="I94" s="18"/>
      <c r="J94" s="18"/>
      <c r="K94" s="136"/>
    </row>
    <row r="120" spans="1:11" ht="12">
      <c r="A120" s="792" t="s">
        <v>237</v>
      </c>
      <c r="B120" s="792"/>
      <c r="C120" s="792"/>
      <c r="D120" s="792"/>
      <c r="E120" s="792"/>
      <c r="F120" s="792"/>
      <c r="G120" s="792"/>
      <c r="H120" s="792"/>
      <c r="I120" s="792"/>
      <c r="J120" s="792"/>
      <c r="K120" s="792"/>
    </row>
    <row r="121" spans="1:11" ht="24.75" thickBot="1">
      <c r="A121" s="125"/>
      <c r="B121" s="126" t="s">
        <v>231</v>
      </c>
      <c r="C121" s="126" t="s">
        <v>230</v>
      </c>
      <c r="D121" s="126" t="s">
        <v>235</v>
      </c>
      <c r="E121" s="126" t="s">
        <v>230</v>
      </c>
      <c r="F121" s="126" t="s">
        <v>284</v>
      </c>
      <c r="G121" s="126" t="s">
        <v>230</v>
      </c>
      <c r="H121" s="126" t="s">
        <v>301</v>
      </c>
      <c r="I121" s="126" t="s">
        <v>230</v>
      </c>
      <c r="J121" s="458" t="s">
        <v>373</v>
      </c>
      <c r="K121" s="126" t="s">
        <v>230</v>
      </c>
    </row>
    <row r="122" spans="1:11" ht="12.75" thickTop="1">
      <c r="A122" s="137" t="s">
        <v>232</v>
      </c>
      <c r="B122" s="389">
        <v>8151</v>
      </c>
      <c r="C122" s="390">
        <v>-0.0363</v>
      </c>
      <c r="D122" s="389">
        <v>9009</v>
      </c>
      <c r="E122" s="390">
        <v>0.0239</v>
      </c>
      <c r="F122" s="389">
        <v>7172</v>
      </c>
      <c r="G122" s="390">
        <v>-0.2039072039072039</v>
      </c>
      <c r="H122" s="386">
        <v>4944</v>
      </c>
      <c r="I122" s="132">
        <f>(H122-F122)/F122</f>
        <v>-0.31065253764640266</v>
      </c>
      <c r="J122" s="386">
        <v>5248</v>
      </c>
      <c r="K122" s="132">
        <f>(J122-H122)/H122</f>
        <v>0.061488673139158574</v>
      </c>
    </row>
    <row r="123" spans="1:11" ht="12">
      <c r="A123" s="137" t="s">
        <v>233</v>
      </c>
      <c r="B123" s="389">
        <v>7339</v>
      </c>
      <c r="C123" s="390">
        <v>0.0282</v>
      </c>
      <c r="D123" s="389">
        <v>8308</v>
      </c>
      <c r="E123" s="390">
        <v>0.0448</v>
      </c>
      <c r="F123" s="389">
        <v>8068</v>
      </c>
      <c r="G123" s="390">
        <v>-0.02888781896966779</v>
      </c>
      <c r="H123" s="385">
        <v>6090</v>
      </c>
      <c r="I123" s="132">
        <f>(H123-F123)/F123</f>
        <v>-0.24516608824987604</v>
      </c>
      <c r="J123" s="385">
        <v>6366</v>
      </c>
      <c r="K123" s="132">
        <f>(J123-H123)/H123</f>
        <v>0.04532019704433497</v>
      </c>
    </row>
    <row r="124" spans="1:11" ht="12">
      <c r="A124" s="138" t="s">
        <v>234</v>
      </c>
      <c r="B124" s="391">
        <v>19169</v>
      </c>
      <c r="C124" s="392">
        <v>0.0442</v>
      </c>
      <c r="D124" s="391">
        <v>20221</v>
      </c>
      <c r="E124" s="392">
        <v>-0.0241</v>
      </c>
      <c r="F124" s="391">
        <v>19353</v>
      </c>
      <c r="G124" s="393">
        <v>-0.042925671331783787</v>
      </c>
      <c r="H124" s="134">
        <v>18207</v>
      </c>
      <c r="I124" s="228">
        <f>(H124-F124)/F124</f>
        <v>-0.05921562548442102</v>
      </c>
      <c r="J124" s="134">
        <v>17089</v>
      </c>
      <c r="K124" s="228">
        <f>(J124-H124)/H124</f>
        <v>-0.06140495413851815</v>
      </c>
    </row>
    <row r="125" spans="1:11" ht="12">
      <c r="A125" s="18"/>
      <c r="B125" s="18"/>
      <c r="C125" s="18"/>
      <c r="D125" s="18"/>
      <c r="E125" s="18"/>
      <c r="F125" s="18"/>
      <c r="G125" s="18"/>
      <c r="H125" s="18"/>
      <c r="I125" s="18"/>
      <c r="J125" s="139"/>
      <c r="K125" s="18"/>
    </row>
    <row r="126" spans="1:11" ht="12">
      <c r="A126" s="791"/>
      <c r="B126" s="791"/>
      <c r="C126" s="791"/>
      <c r="D126" s="791"/>
      <c r="E126" s="791"/>
      <c r="F126" s="791"/>
      <c r="G126" s="791"/>
      <c r="H126" s="18"/>
      <c r="I126" s="18"/>
      <c r="J126" s="18"/>
      <c r="K126" s="18"/>
    </row>
    <row r="127" spans="1:11" ht="12">
      <c r="A127" s="140"/>
      <c r="B127" s="140"/>
      <c r="C127" s="140"/>
      <c r="D127" s="140"/>
      <c r="E127" s="140"/>
      <c r="F127" s="140"/>
      <c r="G127" s="140"/>
      <c r="H127" s="18"/>
      <c r="I127" s="18"/>
      <c r="J127" s="18"/>
      <c r="K127" s="18"/>
    </row>
    <row r="128" spans="1:11" ht="24.75" thickBot="1">
      <c r="A128" s="125"/>
      <c r="B128" s="126" t="s">
        <v>231</v>
      </c>
      <c r="C128" s="126" t="s">
        <v>235</v>
      </c>
      <c r="D128" s="126" t="s">
        <v>284</v>
      </c>
      <c r="E128" s="126" t="s">
        <v>301</v>
      </c>
      <c r="F128" s="458" t="s">
        <v>374</v>
      </c>
      <c r="H128" s="40"/>
      <c r="I128" s="135"/>
      <c r="J128" s="40"/>
      <c r="K128" s="135"/>
    </row>
    <row r="129" spans="1:11" ht="12.75" thickTop="1">
      <c r="A129" s="137" t="s">
        <v>232</v>
      </c>
      <c r="B129" s="389">
        <v>8151</v>
      </c>
      <c r="C129" s="389">
        <v>9009</v>
      </c>
      <c r="D129" s="389">
        <v>7172</v>
      </c>
      <c r="E129" s="131">
        <v>4944</v>
      </c>
      <c r="F129" s="131">
        <v>5248</v>
      </c>
      <c r="H129" s="40"/>
      <c r="I129" s="136"/>
      <c r="J129" s="40"/>
      <c r="K129" s="136"/>
    </row>
    <row r="130" spans="1:11" ht="12">
      <c r="A130" s="137" t="s">
        <v>233</v>
      </c>
      <c r="B130" s="389">
        <v>7339</v>
      </c>
      <c r="C130" s="389">
        <v>8308</v>
      </c>
      <c r="D130" s="389">
        <v>8068</v>
      </c>
      <c r="E130" s="131">
        <v>6090</v>
      </c>
      <c r="F130" s="131">
        <v>6366</v>
      </c>
      <c r="H130" s="40"/>
      <c r="I130" s="136"/>
      <c r="J130" s="40"/>
      <c r="K130" s="136"/>
    </row>
    <row r="131" spans="1:11" ht="12">
      <c r="A131" s="138" t="s">
        <v>234</v>
      </c>
      <c r="B131" s="391">
        <v>19169</v>
      </c>
      <c r="C131" s="391">
        <v>20221</v>
      </c>
      <c r="D131" s="391">
        <v>19353</v>
      </c>
      <c r="E131" s="134">
        <v>18207</v>
      </c>
      <c r="F131" s="134">
        <v>17089</v>
      </c>
      <c r="H131" s="40"/>
      <c r="I131" s="136"/>
      <c r="J131" s="40"/>
      <c r="K131" s="136"/>
    </row>
    <row r="132" spans="1:11" ht="12">
      <c r="A132" s="18"/>
      <c r="B132" s="18"/>
      <c r="C132" s="18"/>
      <c r="D132" s="18"/>
      <c r="E132" s="18"/>
      <c r="F132" s="18"/>
      <c r="G132" s="40"/>
      <c r="H132" s="40"/>
      <c r="I132" s="40"/>
      <c r="J132" s="40"/>
      <c r="K132" s="40"/>
    </row>
    <row r="133" spans="1:11" ht="12">
      <c r="A133" s="18"/>
      <c r="B133" s="18"/>
      <c r="C133" s="18"/>
      <c r="D133" s="18"/>
      <c r="E133" s="18"/>
      <c r="F133" s="18"/>
      <c r="G133" s="18"/>
      <c r="H133" s="18"/>
      <c r="I133" s="18"/>
      <c r="J133" s="18"/>
      <c r="K133" s="18"/>
    </row>
    <row r="134" spans="1:11" ht="12">
      <c r="A134" s="18"/>
      <c r="B134" s="18"/>
      <c r="C134" s="18"/>
      <c r="D134" s="18"/>
      <c r="E134" s="18"/>
      <c r="F134" s="18"/>
      <c r="G134" s="18"/>
      <c r="H134" s="18"/>
      <c r="I134" s="18"/>
      <c r="J134" s="18"/>
      <c r="K134" s="18"/>
    </row>
    <row r="135" spans="1:11" ht="12">
      <c r="A135" s="18"/>
      <c r="B135" s="18"/>
      <c r="C135" s="18"/>
      <c r="D135" s="18"/>
      <c r="E135" s="18"/>
      <c r="F135" s="18"/>
      <c r="G135" s="18"/>
      <c r="H135" s="18"/>
      <c r="I135" s="18"/>
      <c r="J135" s="18"/>
      <c r="K135" s="18"/>
    </row>
    <row r="136" spans="1:11" ht="12">
      <c r="A136" s="18"/>
      <c r="B136" s="18"/>
      <c r="C136" s="18"/>
      <c r="D136" s="18"/>
      <c r="E136" s="18"/>
      <c r="F136" s="18"/>
      <c r="G136" s="18"/>
      <c r="H136" s="18"/>
      <c r="I136" s="18"/>
      <c r="J136" s="18"/>
      <c r="K136" s="18"/>
    </row>
    <row r="137" spans="1:11" ht="12">
      <c r="A137" s="18"/>
      <c r="B137" s="18"/>
      <c r="C137" s="18"/>
      <c r="D137" s="18"/>
      <c r="E137" s="18"/>
      <c r="F137" s="18"/>
      <c r="G137" s="18"/>
      <c r="H137" s="18"/>
      <c r="I137" s="18"/>
      <c r="J137" s="18"/>
      <c r="K137" s="18"/>
    </row>
    <row r="138" spans="1:11" ht="12">
      <c r="A138" s="18"/>
      <c r="B138" s="18"/>
      <c r="C138" s="18"/>
      <c r="D138" s="18"/>
      <c r="E138" s="18"/>
      <c r="F138" s="18"/>
      <c r="G138" s="18"/>
      <c r="H138" s="18"/>
      <c r="I138" s="18"/>
      <c r="J138" s="18"/>
      <c r="K138" s="18"/>
    </row>
    <row r="139" spans="1:11" ht="12">
      <c r="A139" s="18"/>
      <c r="B139" s="18"/>
      <c r="C139" s="18"/>
      <c r="D139" s="18"/>
      <c r="E139" s="18"/>
      <c r="F139" s="18"/>
      <c r="G139" s="18"/>
      <c r="H139" s="18"/>
      <c r="I139" s="18"/>
      <c r="J139" s="18"/>
      <c r="K139" s="18"/>
    </row>
    <row r="140" spans="1:11" ht="12">
      <c r="A140" s="18"/>
      <c r="B140" s="18"/>
      <c r="C140" s="18"/>
      <c r="D140" s="18"/>
      <c r="E140" s="18"/>
      <c r="F140" s="18"/>
      <c r="G140" s="18"/>
      <c r="H140" s="18"/>
      <c r="I140" s="18"/>
      <c r="J140" s="18"/>
      <c r="K140" s="18"/>
    </row>
    <row r="141" spans="1:11" ht="12">
      <c r="A141" s="18"/>
      <c r="B141" s="18"/>
      <c r="C141" s="18"/>
      <c r="D141" s="18"/>
      <c r="E141" s="18"/>
      <c r="F141" s="18"/>
      <c r="G141" s="18"/>
      <c r="H141" s="18"/>
      <c r="I141" s="18"/>
      <c r="J141" s="18"/>
      <c r="K141" s="18"/>
    </row>
    <row r="142" spans="1:11" ht="12">
      <c r="A142" s="18"/>
      <c r="B142" s="18"/>
      <c r="C142" s="18"/>
      <c r="D142" s="18"/>
      <c r="E142" s="18"/>
      <c r="F142" s="18"/>
      <c r="G142" s="18"/>
      <c r="H142" s="18"/>
      <c r="I142" s="18"/>
      <c r="J142" s="18"/>
      <c r="K142" s="18"/>
    </row>
    <row r="143" spans="1:11" ht="12">
      <c r="A143" s="18"/>
      <c r="B143" s="18"/>
      <c r="C143" s="18"/>
      <c r="D143" s="18"/>
      <c r="E143" s="18"/>
      <c r="F143" s="18"/>
      <c r="G143" s="18"/>
      <c r="H143" s="18"/>
      <c r="I143" s="18"/>
      <c r="J143" s="18"/>
      <c r="K143" s="18"/>
    </row>
    <row r="144" spans="1:11" ht="12">
      <c r="A144" s="18"/>
      <c r="B144" s="18"/>
      <c r="C144" s="18"/>
      <c r="D144" s="18"/>
      <c r="E144" s="18"/>
      <c r="F144" s="18"/>
      <c r="G144" s="18"/>
      <c r="H144" s="18"/>
      <c r="I144" s="18"/>
      <c r="J144" s="18"/>
      <c r="K144" s="18"/>
    </row>
    <row r="145" spans="1:11" ht="12">
      <c r="A145" s="18"/>
      <c r="B145" s="18"/>
      <c r="C145" s="18"/>
      <c r="D145" s="18"/>
      <c r="E145" s="18"/>
      <c r="F145" s="18"/>
      <c r="G145" s="18"/>
      <c r="H145" s="18"/>
      <c r="I145" s="18"/>
      <c r="J145" s="18"/>
      <c r="K145" s="18"/>
    </row>
    <row r="146" spans="1:11" ht="12">
      <c r="A146" s="18"/>
      <c r="B146" s="18"/>
      <c r="C146" s="18"/>
      <c r="D146" s="18"/>
      <c r="E146" s="18"/>
      <c r="F146" s="18"/>
      <c r="G146" s="18"/>
      <c r="H146" s="18"/>
      <c r="I146" s="18"/>
      <c r="J146" s="18"/>
      <c r="K146" s="18"/>
    </row>
    <row r="147" spans="1:11" ht="12">
      <c r="A147" s="18"/>
      <c r="B147" s="18"/>
      <c r="C147" s="18"/>
      <c r="D147" s="18"/>
      <c r="E147" s="18"/>
      <c r="F147" s="18"/>
      <c r="G147" s="18"/>
      <c r="H147" s="18"/>
      <c r="I147" s="18"/>
      <c r="J147" s="18"/>
      <c r="K147" s="18"/>
    </row>
    <row r="148" spans="1:11" ht="12">
      <c r="A148" s="18"/>
      <c r="B148" s="18"/>
      <c r="C148" s="18"/>
      <c r="D148" s="18"/>
      <c r="E148" s="18"/>
      <c r="F148" s="18"/>
      <c r="G148" s="18"/>
      <c r="H148" s="18"/>
      <c r="I148" s="18"/>
      <c r="J148" s="18"/>
      <c r="K148" s="18"/>
    </row>
    <row r="149" spans="1:11" ht="12">
      <c r="A149" s="18"/>
      <c r="B149" s="18"/>
      <c r="C149" s="18"/>
      <c r="D149" s="18"/>
      <c r="E149" s="18"/>
      <c r="F149" s="18"/>
      <c r="G149" s="18"/>
      <c r="H149" s="18"/>
      <c r="I149" s="18"/>
      <c r="J149" s="18"/>
      <c r="K149" s="18"/>
    </row>
    <row r="150" spans="1:11" ht="12">
      <c r="A150" s="18"/>
      <c r="B150" s="18"/>
      <c r="C150" s="18"/>
      <c r="D150" s="18"/>
      <c r="E150" s="18"/>
      <c r="F150" s="18"/>
      <c r="G150" s="18"/>
      <c r="H150" s="18"/>
      <c r="I150" s="18"/>
      <c r="J150" s="18"/>
      <c r="K150" s="18"/>
    </row>
    <row r="152" spans="1:11" ht="12">
      <c r="A152" s="792" t="s">
        <v>238</v>
      </c>
      <c r="B152" s="792"/>
      <c r="C152" s="792"/>
      <c r="D152" s="792"/>
      <c r="E152" s="792"/>
      <c r="F152" s="792"/>
      <c r="G152" s="792"/>
      <c r="H152" s="792"/>
      <c r="I152" s="792"/>
      <c r="J152" s="792"/>
      <c r="K152" s="792"/>
    </row>
    <row r="153" spans="1:11" ht="24.75" thickBot="1">
      <c r="A153" s="125"/>
      <c r="B153" s="126" t="s">
        <v>231</v>
      </c>
      <c r="C153" s="126" t="s">
        <v>230</v>
      </c>
      <c r="D153" s="126" t="s">
        <v>235</v>
      </c>
      <c r="E153" s="126" t="s">
        <v>230</v>
      </c>
      <c r="F153" s="126" t="s">
        <v>284</v>
      </c>
      <c r="G153" s="126" t="s">
        <v>230</v>
      </c>
      <c r="H153" s="126" t="s">
        <v>301</v>
      </c>
      <c r="I153" s="126" t="s">
        <v>230</v>
      </c>
      <c r="J153" s="458" t="s">
        <v>373</v>
      </c>
      <c r="K153" s="126" t="s">
        <v>230</v>
      </c>
    </row>
    <row r="154" spans="1:11" ht="12.75" thickTop="1">
      <c r="A154" s="130" t="s">
        <v>232</v>
      </c>
      <c r="B154" s="389">
        <v>4641</v>
      </c>
      <c r="C154" s="390">
        <v>0.2513</v>
      </c>
      <c r="D154" s="389">
        <v>4353</v>
      </c>
      <c r="E154" s="390">
        <v>-0.1075</v>
      </c>
      <c r="F154" s="389">
        <v>3864</v>
      </c>
      <c r="G154" s="390">
        <v>-0.1265527950310559</v>
      </c>
      <c r="H154" s="131">
        <v>4152</v>
      </c>
      <c r="I154" s="132">
        <f>(H154-F154)/H154</f>
        <v>0.06936416184971098</v>
      </c>
      <c r="J154" s="131">
        <v>4184</v>
      </c>
      <c r="K154" s="132">
        <f>(J154-H154)/J154</f>
        <v>0.0076481835564053535</v>
      </c>
    </row>
    <row r="155" spans="1:11" ht="12">
      <c r="A155" s="130" t="s">
        <v>233</v>
      </c>
      <c r="B155" s="389">
        <v>4186</v>
      </c>
      <c r="C155" s="390">
        <v>0.095</v>
      </c>
      <c r="D155" s="389">
        <v>3821</v>
      </c>
      <c r="E155" s="390">
        <v>-0.1304</v>
      </c>
      <c r="F155" s="389">
        <v>3717</v>
      </c>
      <c r="G155" s="390">
        <v>-0.027979553403282217</v>
      </c>
      <c r="H155" s="131">
        <v>3721</v>
      </c>
      <c r="I155" s="132">
        <f>(H155-F155)/H155</f>
        <v>0.0010749798441279225</v>
      </c>
      <c r="J155" s="131">
        <v>3751</v>
      </c>
      <c r="K155" s="132">
        <f>(J155-H155)/J155</f>
        <v>0.007997867235403893</v>
      </c>
    </row>
    <row r="156" spans="1:11" ht="12">
      <c r="A156" s="133" t="s">
        <v>234</v>
      </c>
      <c r="B156" s="391">
        <v>3478</v>
      </c>
      <c r="C156" s="392">
        <v>-0.2158</v>
      </c>
      <c r="D156" s="391">
        <v>3974</v>
      </c>
      <c r="E156" s="392">
        <v>0.0681</v>
      </c>
      <c r="F156" s="391">
        <v>4129</v>
      </c>
      <c r="G156" s="393">
        <v>0.037539355776217004</v>
      </c>
      <c r="H156" s="134">
        <v>4581</v>
      </c>
      <c r="I156" s="228">
        <f>(H156-F156)/H156</f>
        <v>0.09866841301025976</v>
      </c>
      <c r="J156" s="134">
        <v>5238</v>
      </c>
      <c r="K156" s="224">
        <f>(J156-H156)/J156</f>
        <v>0.1254295532646048</v>
      </c>
    </row>
    <row r="157" spans="1:11" ht="12">
      <c r="A157" s="18"/>
      <c r="B157" s="18"/>
      <c r="C157" s="18"/>
      <c r="D157" s="18"/>
      <c r="E157" s="18"/>
      <c r="F157" s="18"/>
      <c r="G157" s="18"/>
      <c r="H157" s="18"/>
      <c r="I157" s="18"/>
      <c r="J157" s="18"/>
      <c r="K157" s="223"/>
    </row>
    <row r="158" spans="1:11" ht="12">
      <c r="A158" s="791"/>
      <c r="B158" s="791"/>
      <c r="C158" s="791"/>
      <c r="D158" s="791"/>
      <c r="E158" s="791"/>
      <c r="F158" s="791"/>
      <c r="G158" s="791"/>
      <c r="H158" s="18"/>
      <c r="I158" s="18"/>
      <c r="J158" s="18"/>
      <c r="K158" s="18"/>
    </row>
    <row r="159" spans="1:11" ht="12">
      <c r="A159" s="18"/>
      <c r="B159" s="18"/>
      <c r="C159" s="18"/>
      <c r="D159" s="18"/>
      <c r="E159" s="18"/>
      <c r="F159" s="18"/>
      <c r="G159" s="18"/>
      <c r="H159" s="18"/>
      <c r="I159" s="18"/>
      <c r="J159" s="18"/>
      <c r="K159" s="18"/>
    </row>
    <row r="160" spans="1:10" ht="24.75" thickBot="1">
      <c r="A160" s="125"/>
      <c r="B160" s="126" t="s">
        <v>231</v>
      </c>
      <c r="C160" s="126" t="s">
        <v>235</v>
      </c>
      <c r="D160" s="126" t="s">
        <v>284</v>
      </c>
      <c r="E160" s="126" t="s">
        <v>301</v>
      </c>
      <c r="F160" s="458" t="s">
        <v>373</v>
      </c>
      <c r="G160" s="40"/>
      <c r="H160" s="135"/>
      <c r="I160" s="40"/>
      <c r="J160" s="135"/>
    </row>
    <row r="161" spans="1:10" ht="12.75" thickTop="1">
      <c r="A161" s="130" t="s">
        <v>232</v>
      </c>
      <c r="B161" s="131">
        <v>4641</v>
      </c>
      <c r="C161" s="131">
        <v>4353</v>
      </c>
      <c r="D161" s="131">
        <v>3864</v>
      </c>
      <c r="E161" s="131">
        <v>4152</v>
      </c>
      <c r="F161" s="131">
        <v>4184</v>
      </c>
      <c r="G161" s="40"/>
      <c r="H161" s="136"/>
      <c r="I161" s="40"/>
      <c r="J161" s="136"/>
    </row>
    <row r="162" spans="1:10" ht="12">
      <c r="A162" s="130" t="s">
        <v>233</v>
      </c>
      <c r="B162" s="131">
        <v>4186</v>
      </c>
      <c r="C162" s="131">
        <v>3821</v>
      </c>
      <c r="D162" s="131">
        <v>3717</v>
      </c>
      <c r="E162" s="131">
        <v>3721</v>
      </c>
      <c r="F162" s="131">
        <v>3751</v>
      </c>
      <c r="G162" s="40"/>
      <c r="H162" s="136"/>
      <c r="I162" s="40"/>
      <c r="J162" s="136"/>
    </row>
    <row r="163" spans="1:10" ht="12">
      <c r="A163" s="133" t="s">
        <v>234</v>
      </c>
      <c r="B163" s="134">
        <v>3478</v>
      </c>
      <c r="C163" s="134">
        <v>3974</v>
      </c>
      <c r="D163" s="134">
        <v>4129</v>
      </c>
      <c r="E163" s="134">
        <v>4581</v>
      </c>
      <c r="F163" s="134">
        <v>5238</v>
      </c>
      <c r="G163" s="40"/>
      <c r="H163" s="136"/>
      <c r="I163" s="40"/>
      <c r="J163" s="136"/>
    </row>
    <row r="164" spans="1:11" ht="12">
      <c r="A164" s="18"/>
      <c r="B164" s="18"/>
      <c r="C164" s="18"/>
      <c r="D164" s="18"/>
      <c r="E164" s="18"/>
      <c r="F164" s="18"/>
      <c r="G164" s="18"/>
      <c r="H164" s="18"/>
      <c r="I164" s="18"/>
      <c r="J164" s="18"/>
      <c r="K164" s="18"/>
    </row>
    <row r="165" spans="1:11" ht="12">
      <c r="A165" s="139"/>
      <c r="B165" s="139"/>
      <c r="C165" s="139"/>
      <c r="D165" s="139"/>
      <c r="E165" s="139"/>
      <c r="F165" s="139"/>
      <c r="G165" s="139"/>
      <c r="H165" s="139"/>
      <c r="I165" s="139"/>
      <c r="J165" s="139"/>
      <c r="K165" s="139"/>
    </row>
    <row r="166" spans="1:11" ht="12">
      <c r="A166" s="139"/>
      <c r="B166" s="139"/>
      <c r="C166" s="139"/>
      <c r="D166" s="139"/>
      <c r="E166" s="139"/>
      <c r="F166" s="139"/>
      <c r="G166" s="139"/>
      <c r="H166" s="139"/>
      <c r="I166" s="139"/>
      <c r="J166" s="139"/>
      <c r="K166" s="139"/>
    </row>
    <row r="167" spans="1:11" ht="12">
      <c r="A167" s="139"/>
      <c r="B167" s="139"/>
      <c r="C167" s="139"/>
      <c r="D167" s="139"/>
      <c r="E167" s="139"/>
      <c r="F167" s="139"/>
      <c r="G167" s="139"/>
      <c r="H167" s="139"/>
      <c r="I167" s="139"/>
      <c r="J167" s="139"/>
      <c r="K167" s="139"/>
    </row>
    <row r="168" spans="1:11" ht="12">
      <c r="A168" s="139"/>
      <c r="B168" s="139"/>
      <c r="C168" s="139"/>
      <c r="D168" s="139"/>
      <c r="E168" s="139"/>
      <c r="F168" s="139"/>
      <c r="G168" s="139"/>
      <c r="H168" s="139"/>
      <c r="I168" s="139"/>
      <c r="J168" s="139"/>
      <c r="K168" s="139"/>
    </row>
    <row r="169" spans="1:11" ht="12">
      <c r="A169" s="139"/>
      <c r="B169" s="139"/>
      <c r="C169" s="139"/>
      <c r="D169" s="139"/>
      <c r="E169" s="139"/>
      <c r="F169" s="139"/>
      <c r="G169" s="139"/>
      <c r="H169" s="139"/>
      <c r="I169" s="139"/>
      <c r="J169" s="139"/>
      <c r="K169" s="139"/>
    </row>
    <row r="170" spans="1:11" ht="12">
      <c r="A170" s="139"/>
      <c r="B170" s="139"/>
      <c r="C170" s="139"/>
      <c r="D170" s="139"/>
      <c r="E170" s="139"/>
      <c r="F170" s="139"/>
      <c r="G170" s="139"/>
      <c r="H170" s="139"/>
      <c r="I170" s="139"/>
      <c r="J170" s="139"/>
      <c r="K170" s="139"/>
    </row>
    <row r="171" spans="1:11" ht="12">
      <c r="A171" s="139"/>
      <c r="B171" s="139"/>
      <c r="C171" s="139"/>
      <c r="D171" s="139"/>
      <c r="E171" s="139"/>
      <c r="F171" s="139"/>
      <c r="G171" s="139"/>
      <c r="H171" s="139"/>
      <c r="I171" s="139"/>
      <c r="J171" s="139"/>
      <c r="K171" s="139"/>
    </row>
    <row r="172" spans="1:11" ht="12">
      <c r="A172" s="139"/>
      <c r="B172" s="139"/>
      <c r="C172" s="139"/>
      <c r="D172" s="139"/>
      <c r="E172" s="139"/>
      <c r="F172" s="139"/>
      <c r="G172" s="139"/>
      <c r="H172" s="139"/>
      <c r="I172" s="139"/>
      <c r="J172" s="139"/>
      <c r="K172" s="139"/>
    </row>
    <row r="173" spans="1:11" ht="12">
      <c r="A173" s="139"/>
      <c r="B173" s="139"/>
      <c r="C173" s="139"/>
      <c r="D173" s="139"/>
      <c r="E173" s="139"/>
      <c r="F173" s="139"/>
      <c r="G173" s="139"/>
      <c r="H173" s="139"/>
      <c r="I173" s="139"/>
      <c r="J173" s="139"/>
      <c r="K173" s="139"/>
    </row>
    <row r="174" spans="1:11" ht="12">
      <c r="A174" s="139"/>
      <c r="B174" s="139"/>
      <c r="C174" s="139"/>
      <c r="D174" s="139"/>
      <c r="E174" s="139"/>
      <c r="F174" s="139"/>
      <c r="G174" s="139"/>
      <c r="H174" s="139"/>
      <c r="I174" s="139"/>
      <c r="J174" s="139"/>
      <c r="K174" s="139"/>
    </row>
    <row r="175" spans="1:11" ht="12">
      <c r="A175" s="139"/>
      <c r="B175" s="139"/>
      <c r="C175" s="139"/>
      <c r="D175" s="139"/>
      <c r="E175" s="139"/>
      <c r="F175" s="139"/>
      <c r="G175" s="139"/>
      <c r="H175" s="139"/>
      <c r="I175" s="139"/>
      <c r="J175" s="139"/>
      <c r="K175" s="139"/>
    </row>
    <row r="176" spans="1:11" ht="12">
      <c r="A176" s="139"/>
      <c r="B176" s="139"/>
      <c r="C176" s="139"/>
      <c r="D176" s="139"/>
      <c r="E176" s="139"/>
      <c r="F176" s="139"/>
      <c r="G176" s="139"/>
      <c r="H176" s="139"/>
      <c r="I176" s="139"/>
      <c r="J176" s="139"/>
      <c r="K176" s="139"/>
    </row>
    <row r="177" spans="1:11" ht="12">
      <c r="A177" s="139"/>
      <c r="B177" s="139"/>
      <c r="C177" s="139"/>
      <c r="D177" s="139"/>
      <c r="E177" s="139"/>
      <c r="F177" s="139"/>
      <c r="G177" s="139"/>
      <c r="H177" s="139"/>
      <c r="I177" s="139"/>
      <c r="J177" s="139"/>
      <c r="K177" s="139"/>
    </row>
    <row r="178" spans="1:11" ht="12">
      <c r="A178" s="139"/>
      <c r="B178" s="139"/>
      <c r="C178" s="139"/>
      <c r="D178" s="139"/>
      <c r="E178" s="139"/>
      <c r="F178" s="139"/>
      <c r="G178" s="139"/>
      <c r="H178" s="139"/>
      <c r="I178" s="139"/>
      <c r="J178" s="139"/>
      <c r="K178" s="139"/>
    </row>
    <row r="179" spans="1:11" ht="12">
      <c r="A179" s="139"/>
      <c r="B179" s="139"/>
      <c r="C179" s="139"/>
      <c r="D179" s="139"/>
      <c r="E179" s="139"/>
      <c r="F179" s="139"/>
      <c r="G179" s="139"/>
      <c r="H179" s="139"/>
      <c r="I179" s="139"/>
      <c r="J179" s="139"/>
      <c r="K179" s="139"/>
    </row>
    <row r="180" spans="1:11" ht="12">
      <c r="A180" s="139"/>
      <c r="B180" s="139"/>
      <c r="C180" s="139"/>
      <c r="D180" s="139"/>
      <c r="E180" s="139"/>
      <c r="F180" s="139"/>
      <c r="G180" s="139"/>
      <c r="H180" s="139"/>
      <c r="I180" s="139"/>
      <c r="J180" s="139"/>
      <c r="K180" s="139"/>
    </row>
    <row r="181" spans="1:11" ht="12">
      <c r="A181" s="139"/>
      <c r="B181" s="139"/>
      <c r="C181" s="139"/>
      <c r="D181" s="139"/>
      <c r="E181" s="139"/>
      <c r="F181" s="139"/>
      <c r="G181" s="139"/>
      <c r="H181" s="139"/>
      <c r="I181" s="139"/>
      <c r="J181" s="139"/>
      <c r="K181" s="139"/>
    </row>
    <row r="182" spans="1:11" ht="12">
      <c r="A182" s="139"/>
      <c r="B182" s="139"/>
      <c r="C182" s="139"/>
      <c r="D182" s="139"/>
      <c r="E182" s="139"/>
      <c r="F182" s="139"/>
      <c r="G182" s="139"/>
      <c r="H182" s="139"/>
      <c r="I182" s="139"/>
      <c r="J182" s="139"/>
      <c r="K182" s="139"/>
    </row>
    <row r="183" spans="1:11" ht="12">
      <c r="A183" s="139"/>
      <c r="B183" s="139"/>
      <c r="C183" s="139"/>
      <c r="D183" s="139"/>
      <c r="E183" s="139"/>
      <c r="F183" s="139"/>
      <c r="G183" s="139"/>
      <c r="H183" s="139"/>
      <c r="I183" s="139"/>
      <c r="J183" s="139"/>
      <c r="K183" s="139"/>
    </row>
    <row r="184" spans="1:11" ht="12">
      <c r="A184" s="139"/>
      <c r="B184" s="139"/>
      <c r="C184" s="139"/>
      <c r="D184" s="139"/>
      <c r="E184" s="139"/>
      <c r="F184" s="139"/>
      <c r="G184" s="139"/>
      <c r="H184" s="139"/>
      <c r="I184" s="139"/>
      <c r="J184" s="139"/>
      <c r="K184" s="139"/>
    </row>
    <row r="185" spans="1:11" ht="12">
      <c r="A185" s="139"/>
      <c r="B185" s="139"/>
      <c r="C185" s="139"/>
      <c r="D185" s="139"/>
      <c r="E185" s="139"/>
      <c r="F185" s="139"/>
      <c r="G185" s="139"/>
      <c r="H185" s="139"/>
      <c r="I185" s="139"/>
      <c r="J185" s="139"/>
      <c r="K185" s="139"/>
    </row>
    <row r="186" spans="1:11" ht="12">
      <c r="A186" s="792" t="s">
        <v>239</v>
      </c>
      <c r="B186" s="792"/>
      <c r="C186" s="792"/>
      <c r="D186" s="792"/>
      <c r="E186" s="792"/>
      <c r="F186" s="792"/>
      <c r="G186" s="792"/>
      <c r="H186" s="792"/>
      <c r="I186" s="792"/>
      <c r="J186" s="792"/>
      <c r="K186" s="792"/>
    </row>
    <row r="187" spans="1:11" ht="24.75" thickBot="1">
      <c r="A187" s="141"/>
      <c r="B187" s="126" t="s">
        <v>231</v>
      </c>
      <c r="C187" s="126" t="s">
        <v>230</v>
      </c>
      <c r="D187" s="126" t="s">
        <v>235</v>
      </c>
      <c r="E187" s="126" t="s">
        <v>230</v>
      </c>
      <c r="F187" s="126" t="s">
        <v>284</v>
      </c>
      <c r="G187" s="126" t="s">
        <v>230</v>
      </c>
      <c r="H187" s="126" t="s">
        <v>301</v>
      </c>
      <c r="I187" s="126" t="s">
        <v>230</v>
      </c>
      <c r="J187" s="458" t="s">
        <v>373</v>
      </c>
      <c r="K187" s="126" t="s">
        <v>230</v>
      </c>
    </row>
    <row r="188" spans="1:11" ht="12.75" thickTop="1">
      <c r="A188" s="40" t="s">
        <v>232</v>
      </c>
      <c r="B188" s="387">
        <v>2235</v>
      </c>
      <c r="C188" s="388">
        <v>0.0924</v>
      </c>
      <c r="D188" s="387">
        <v>2229</v>
      </c>
      <c r="E188" s="388">
        <v>-0.0394</v>
      </c>
      <c r="F188" s="387">
        <v>1796</v>
      </c>
      <c r="G188" s="388">
        <v>-0.2410913140311804</v>
      </c>
      <c r="H188" s="128">
        <v>1837</v>
      </c>
      <c r="I188" s="129">
        <f>(H188-F188)/H188</f>
        <v>0.02231899836690256</v>
      </c>
      <c r="J188" s="128">
        <v>1883</v>
      </c>
      <c r="K188" s="129">
        <f>(J188-H188)/J188</f>
        <v>0.024429102496016993</v>
      </c>
    </row>
    <row r="189" spans="1:11" ht="12">
      <c r="A189" s="40" t="s">
        <v>233</v>
      </c>
      <c r="B189" s="387">
        <v>1935</v>
      </c>
      <c r="C189" s="388">
        <v>-0.0092</v>
      </c>
      <c r="D189" s="387">
        <v>1815</v>
      </c>
      <c r="E189" s="388">
        <v>-0.0977</v>
      </c>
      <c r="F189" s="387">
        <v>1836</v>
      </c>
      <c r="G189" s="388">
        <v>0.011437908496732025</v>
      </c>
      <c r="H189" s="128">
        <v>1649</v>
      </c>
      <c r="I189" s="129">
        <f>(H189-F189)/H189</f>
        <v>-0.1134020618556701</v>
      </c>
      <c r="J189" s="128">
        <v>1762</v>
      </c>
      <c r="K189" s="129">
        <f>(J189-H189)/J189</f>
        <v>0.0641316685584563</v>
      </c>
    </row>
    <row r="190" spans="1:11" ht="12">
      <c r="A190" s="133" t="s">
        <v>234</v>
      </c>
      <c r="B190" s="391">
        <v>1591</v>
      </c>
      <c r="C190" s="392">
        <v>-0.1339</v>
      </c>
      <c r="D190" s="391">
        <v>1937</v>
      </c>
      <c r="E190" s="392">
        <v>0.1477</v>
      </c>
      <c r="F190" s="391">
        <v>1902</v>
      </c>
      <c r="G190" s="394">
        <v>-0.01840168243953733</v>
      </c>
      <c r="H190" s="134">
        <v>2092</v>
      </c>
      <c r="I190" s="459">
        <f>(H190-F190)/H190</f>
        <v>0.09082217973231357</v>
      </c>
      <c r="J190" s="134">
        <v>2256</v>
      </c>
      <c r="K190" s="225">
        <f>(J190-H190)/J190</f>
        <v>0.0726950354609929</v>
      </c>
    </row>
    <row r="191" spans="1:11" ht="12">
      <c r="A191" s="40"/>
      <c r="B191" s="40"/>
      <c r="C191" s="142"/>
      <c r="D191" s="142"/>
      <c r="E191" s="142"/>
      <c r="F191" s="142"/>
      <c r="G191" s="142"/>
      <c r="H191" s="142"/>
      <c r="I191" s="40"/>
      <c r="J191" s="40"/>
      <c r="K191" s="223"/>
    </row>
    <row r="192" spans="1:11" ht="12">
      <c r="A192" s="791"/>
      <c r="B192" s="791"/>
      <c r="C192" s="791"/>
      <c r="D192" s="791"/>
      <c r="E192" s="791"/>
      <c r="F192" s="791"/>
      <c r="G192" s="791"/>
      <c r="H192" s="18"/>
      <c r="I192" s="18"/>
      <c r="J192" s="18"/>
      <c r="K192" s="18"/>
    </row>
    <row r="193" spans="1:11" ht="12">
      <c r="A193" s="18"/>
      <c r="B193" s="18"/>
      <c r="C193" s="18"/>
      <c r="D193" s="18"/>
      <c r="E193" s="18"/>
      <c r="F193" s="18"/>
      <c r="G193" s="18"/>
      <c r="H193" s="18"/>
      <c r="I193" s="18"/>
      <c r="J193" s="18"/>
      <c r="K193" s="18"/>
    </row>
    <row r="194" spans="1:11" ht="24.75" thickBot="1">
      <c r="A194" s="125"/>
      <c r="B194" s="126" t="s">
        <v>231</v>
      </c>
      <c r="C194" s="126" t="s">
        <v>235</v>
      </c>
      <c r="D194" s="126" t="s">
        <v>284</v>
      </c>
      <c r="E194" s="126" t="s">
        <v>301</v>
      </c>
      <c r="F194" s="458" t="s">
        <v>373</v>
      </c>
      <c r="G194" s="18"/>
      <c r="H194" s="18"/>
      <c r="I194" s="18"/>
      <c r="J194" s="18"/>
      <c r="K194" s="135"/>
    </row>
    <row r="195" spans="1:11" ht="12.75" thickTop="1">
      <c r="A195" s="40" t="s">
        <v>232</v>
      </c>
      <c r="B195" s="128">
        <v>2235</v>
      </c>
      <c r="C195" s="128">
        <v>2229</v>
      </c>
      <c r="D195" s="128">
        <v>1796</v>
      </c>
      <c r="E195" s="128">
        <v>1837</v>
      </c>
      <c r="F195" s="128">
        <v>1883</v>
      </c>
      <c r="G195" s="18"/>
      <c r="H195" s="18"/>
      <c r="I195" s="18"/>
      <c r="J195" s="18"/>
      <c r="K195" s="136"/>
    </row>
    <row r="196" spans="1:11" ht="12">
      <c r="A196" s="40" t="s">
        <v>233</v>
      </c>
      <c r="B196" s="128">
        <v>1935</v>
      </c>
      <c r="C196" s="128">
        <v>1815</v>
      </c>
      <c r="D196" s="128">
        <v>1836</v>
      </c>
      <c r="E196" s="128">
        <v>1649</v>
      </c>
      <c r="F196" s="128">
        <v>1762</v>
      </c>
      <c r="G196" s="18"/>
      <c r="H196" s="18"/>
      <c r="I196" s="18"/>
      <c r="J196" s="18"/>
      <c r="K196" s="136"/>
    </row>
    <row r="197" spans="1:11" ht="12">
      <c r="A197" s="133" t="s">
        <v>234</v>
      </c>
      <c r="B197" s="134">
        <v>1591</v>
      </c>
      <c r="C197" s="134">
        <v>1937</v>
      </c>
      <c r="D197" s="134">
        <v>1902</v>
      </c>
      <c r="E197" s="134">
        <v>2092</v>
      </c>
      <c r="F197" s="134">
        <v>2256</v>
      </c>
      <c r="G197" s="18"/>
      <c r="H197" s="18"/>
      <c r="I197" s="18"/>
      <c r="J197" s="18"/>
      <c r="K197" s="136"/>
    </row>
    <row r="198" spans="1:11" ht="12">
      <c r="A198" s="18"/>
      <c r="B198" s="18"/>
      <c r="C198" s="18"/>
      <c r="D198" s="18"/>
      <c r="E198" s="18"/>
      <c r="F198" s="18"/>
      <c r="G198" s="18"/>
      <c r="H198" s="18"/>
      <c r="I198" s="18"/>
      <c r="J198" s="18"/>
      <c r="K198" s="18"/>
    </row>
    <row r="199" spans="1:11" ht="12">
      <c r="A199" s="18"/>
      <c r="B199" s="18"/>
      <c r="C199" s="18"/>
      <c r="D199" s="18"/>
      <c r="E199" s="18"/>
      <c r="F199" s="18"/>
      <c r="G199" s="18"/>
      <c r="H199" s="18"/>
      <c r="I199" s="18"/>
      <c r="J199" s="18"/>
      <c r="K199" s="18"/>
    </row>
    <row r="200" spans="1:11" ht="12">
      <c r="A200" s="139"/>
      <c r="B200" s="139"/>
      <c r="C200" s="139"/>
      <c r="D200" s="139"/>
      <c r="E200" s="139"/>
      <c r="F200" s="139"/>
      <c r="G200" s="139"/>
      <c r="H200" s="139"/>
      <c r="I200" s="139"/>
      <c r="J200" s="139"/>
      <c r="K200" s="139"/>
    </row>
    <row r="201" spans="1:11" ht="12">
      <c r="A201" s="139"/>
      <c r="B201" s="139"/>
      <c r="C201" s="139"/>
      <c r="D201" s="139"/>
      <c r="E201" s="139"/>
      <c r="F201" s="139"/>
      <c r="G201" s="139"/>
      <c r="H201" s="139"/>
      <c r="I201" s="139"/>
      <c r="J201" s="139"/>
      <c r="K201" s="139"/>
    </row>
    <row r="202" spans="1:11" ht="12">
      <c r="A202" s="139"/>
      <c r="B202" s="139"/>
      <c r="C202" s="139"/>
      <c r="D202" s="139"/>
      <c r="E202" s="139"/>
      <c r="F202" s="139"/>
      <c r="G202" s="139"/>
      <c r="H202" s="139"/>
      <c r="I202" s="139"/>
      <c r="J202" s="139"/>
      <c r="K202" s="139"/>
    </row>
    <row r="203" spans="1:11" ht="12">
      <c r="A203" s="139"/>
      <c r="B203" s="139"/>
      <c r="C203" s="139"/>
      <c r="D203" s="139"/>
      <c r="E203" s="139"/>
      <c r="F203" s="139"/>
      <c r="G203" s="139"/>
      <c r="H203" s="139"/>
      <c r="I203" s="139"/>
      <c r="J203" s="139"/>
      <c r="K203" s="139"/>
    </row>
    <row r="204" spans="1:11" ht="12">
      <c r="A204" s="139"/>
      <c r="B204" s="139"/>
      <c r="C204" s="139"/>
      <c r="D204" s="139"/>
      <c r="E204" s="139"/>
      <c r="F204" s="139"/>
      <c r="G204" s="139"/>
      <c r="H204" s="139"/>
      <c r="I204" s="139"/>
      <c r="J204" s="139"/>
      <c r="K204" s="139"/>
    </row>
    <row r="205" spans="1:11" ht="12">
      <c r="A205" s="139"/>
      <c r="B205" s="139"/>
      <c r="C205" s="139"/>
      <c r="D205" s="139"/>
      <c r="E205" s="139"/>
      <c r="F205" s="139"/>
      <c r="G205" s="139"/>
      <c r="H205" s="139"/>
      <c r="I205" s="139"/>
      <c r="J205" s="139"/>
      <c r="K205" s="139"/>
    </row>
    <row r="206" spans="1:11" ht="12">
      <c r="A206" s="139"/>
      <c r="B206" s="139"/>
      <c r="C206" s="139"/>
      <c r="D206" s="139"/>
      <c r="E206" s="139"/>
      <c r="F206" s="139"/>
      <c r="G206" s="139"/>
      <c r="H206" s="139"/>
      <c r="I206" s="139"/>
      <c r="J206" s="139"/>
      <c r="K206" s="139"/>
    </row>
    <row r="207" spans="1:11" ht="12">
      <c r="A207" s="139"/>
      <c r="B207" s="139"/>
      <c r="C207" s="139"/>
      <c r="D207" s="139"/>
      <c r="E207" s="139"/>
      <c r="F207" s="139"/>
      <c r="G207" s="139"/>
      <c r="H207" s="139"/>
      <c r="I207" s="139"/>
      <c r="J207" s="139"/>
      <c r="K207" s="139"/>
    </row>
    <row r="208" spans="1:11" ht="12">
      <c r="A208" s="139"/>
      <c r="B208" s="139"/>
      <c r="C208" s="139"/>
      <c r="D208" s="139"/>
      <c r="E208" s="139"/>
      <c r="F208" s="139"/>
      <c r="G208" s="139"/>
      <c r="H208" s="139"/>
      <c r="I208" s="139"/>
      <c r="J208" s="139"/>
      <c r="K208" s="139"/>
    </row>
    <row r="209" spans="1:11" ht="12">
      <c r="A209" s="139"/>
      <c r="B209" s="139"/>
      <c r="C209" s="139"/>
      <c r="D209" s="139"/>
      <c r="E209" s="139"/>
      <c r="F209" s="139"/>
      <c r="G209" s="139"/>
      <c r="H209" s="139"/>
      <c r="I209" s="139"/>
      <c r="J209" s="139"/>
      <c r="K209" s="139"/>
    </row>
    <row r="210" spans="1:11" ht="12">
      <c r="A210" s="139"/>
      <c r="B210" s="139"/>
      <c r="C210" s="139"/>
      <c r="D210" s="139"/>
      <c r="E210" s="139"/>
      <c r="F210" s="139"/>
      <c r="G210" s="139"/>
      <c r="H210" s="139"/>
      <c r="I210" s="139"/>
      <c r="J210" s="139"/>
      <c r="K210" s="139"/>
    </row>
    <row r="211" spans="1:11" ht="12">
      <c r="A211" s="139"/>
      <c r="B211" s="139"/>
      <c r="C211" s="139"/>
      <c r="D211" s="139"/>
      <c r="E211" s="139"/>
      <c r="F211" s="139"/>
      <c r="G211" s="139"/>
      <c r="H211" s="139"/>
      <c r="I211" s="139"/>
      <c r="J211" s="139"/>
      <c r="K211" s="139"/>
    </row>
    <row r="212" spans="1:11" ht="12">
      <c r="A212" s="139"/>
      <c r="B212" s="139"/>
      <c r="C212" s="139"/>
      <c r="D212" s="139"/>
      <c r="E212" s="139"/>
      <c r="F212" s="139"/>
      <c r="G212" s="139"/>
      <c r="H212" s="139"/>
      <c r="I212" s="139"/>
      <c r="J212" s="139"/>
      <c r="K212" s="139"/>
    </row>
    <row r="213" spans="1:11" ht="12">
      <c r="A213" s="139"/>
      <c r="B213" s="139"/>
      <c r="C213" s="139"/>
      <c r="D213" s="139"/>
      <c r="E213" s="139"/>
      <c r="F213" s="139"/>
      <c r="G213" s="139"/>
      <c r="H213" s="139"/>
      <c r="I213" s="139"/>
      <c r="J213" s="139"/>
      <c r="K213" s="139"/>
    </row>
    <row r="214" spans="1:11" ht="12">
      <c r="A214" s="139"/>
      <c r="B214" s="139"/>
      <c r="C214" s="139"/>
      <c r="D214" s="139"/>
      <c r="E214" s="139"/>
      <c r="F214" s="139"/>
      <c r="G214" s="139"/>
      <c r="H214" s="139"/>
      <c r="I214" s="139"/>
      <c r="J214" s="139"/>
      <c r="K214" s="139"/>
    </row>
    <row r="215" spans="1:11" ht="12">
      <c r="A215" s="139"/>
      <c r="B215" s="139"/>
      <c r="C215" s="139"/>
      <c r="D215" s="139"/>
      <c r="E215" s="139"/>
      <c r="F215" s="139"/>
      <c r="G215" s="139"/>
      <c r="H215" s="139"/>
      <c r="I215" s="139"/>
      <c r="J215" s="139"/>
      <c r="K215" s="139"/>
    </row>
    <row r="216" spans="1:11" ht="12">
      <c r="A216" s="139"/>
      <c r="B216" s="139"/>
      <c r="C216" s="139"/>
      <c r="D216" s="139"/>
      <c r="E216" s="139"/>
      <c r="F216" s="139"/>
      <c r="G216" s="139"/>
      <c r="H216" s="139"/>
      <c r="I216" s="139"/>
      <c r="J216" s="139"/>
      <c r="K216" s="139"/>
    </row>
    <row r="217" spans="1:11" ht="12">
      <c r="A217" s="139"/>
      <c r="B217" s="139"/>
      <c r="C217" s="139"/>
      <c r="D217" s="139"/>
      <c r="E217" s="139"/>
      <c r="F217" s="139"/>
      <c r="G217" s="139"/>
      <c r="H217" s="139"/>
      <c r="I217" s="139"/>
      <c r="J217" s="139"/>
      <c r="K217" s="139"/>
    </row>
    <row r="218" spans="1:11" ht="12">
      <c r="A218" s="139"/>
      <c r="B218" s="139"/>
      <c r="C218" s="139"/>
      <c r="D218" s="139"/>
      <c r="E218" s="139"/>
      <c r="F218" s="139"/>
      <c r="G218" s="139"/>
      <c r="H218" s="139"/>
      <c r="I218" s="139"/>
      <c r="J218" s="139"/>
      <c r="K218" s="139"/>
    </row>
    <row r="219" spans="1:11" ht="12">
      <c r="A219" s="139"/>
      <c r="B219" s="139"/>
      <c r="C219" s="139"/>
      <c r="D219" s="139"/>
      <c r="E219" s="139"/>
      <c r="F219" s="139"/>
      <c r="G219" s="139"/>
      <c r="H219" s="139"/>
      <c r="I219" s="139"/>
      <c r="J219" s="139"/>
      <c r="K219" s="139"/>
    </row>
    <row r="220" spans="1:11" ht="12">
      <c r="A220" s="139"/>
      <c r="B220" s="139"/>
      <c r="C220" s="139"/>
      <c r="D220" s="139"/>
      <c r="E220" s="139"/>
      <c r="F220" s="139"/>
      <c r="G220" s="139"/>
      <c r="H220" s="139"/>
      <c r="I220" s="139"/>
      <c r="J220" s="139"/>
      <c r="K220" s="139"/>
    </row>
    <row r="221" spans="1:11" ht="12">
      <c r="A221" s="792" t="s">
        <v>240</v>
      </c>
      <c r="B221" s="792"/>
      <c r="C221" s="792"/>
      <c r="D221" s="792"/>
      <c r="E221" s="792"/>
      <c r="F221" s="792"/>
      <c r="G221" s="792"/>
      <c r="H221" s="792"/>
      <c r="I221" s="792"/>
      <c r="J221" s="792"/>
      <c r="K221" s="792"/>
    </row>
    <row r="222" spans="1:11" ht="24.75" thickBot="1">
      <c r="A222" s="125"/>
      <c r="B222" s="126" t="s">
        <v>231</v>
      </c>
      <c r="C222" s="126" t="s">
        <v>230</v>
      </c>
      <c r="D222" s="126" t="s">
        <v>235</v>
      </c>
      <c r="E222" s="126" t="s">
        <v>230</v>
      </c>
      <c r="F222" s="126" t="s">
        <v>284</v>
      </c>
      <c r="G222" s="126" t="s">
        <v>230</v>
      </c>
      <c r="H222" s="126" t="s">
        <v>301</v>
      </c>
      <c r="I222" s="126" t="s">
        <v>230</v>
      </c>
      <c r="J222" s="458" t="s">
        <v>373</v>
      </c>
      <c r="K222" s="126" t="s">
        <v>230</v>
      </c>
    </row>
    <row r="223" spans="1:11" ht="12.75" thickTop="1">
      <c r="A223" s="130" t="s">
        <v>232</v>
      </c>
      <c r="B223" s="131">
        <v>240</v>
      </c>
      <c r="C223" s="226">
        <v>0.4201</v>
      </c>
      <c r="D223" s="131">
        <v>253</v>
      </c>
      <c r="E223" s="226">
        <v>-0.0042</v>
      </c>
      <c r="F223" s="131">
        <v>281</v>
      </c>
      <c r="G223" s="226">
        <v>0.11067193675889328</v>
      </c>
      <c r="H223" s="131">
        <v>313</v>
      </c>
      <c r="I223" s="226">
        <f>(H223-F223)/F223</f>
        <v>0.11387900355871886</v>
      </c>
      <c r="J223" s="131">
        <v>350</v>
      </c>
      <c r="K223" s="226">
        <f>(J223-H223)/H223</f>
        <v>0.1182108626198083</v>
      </c>
    </row>
    <row r="224" spans="1:11" ht="12">
      <c r="A224" s="130" t="s">
        <v>233</v>
      </c>
      <c r="B224" s="131">
        <v>465</v>
      </c>
      <c r="C224" s="226">
        <v>-0.1421</v>
      </c>
      <c r="D224" s="131">
        <v>395</v>
      </c>
      <c r="E224" s="226">
        <v>-0.1763</v>
      </c>
      <c r="F224" s="131">
        <v>341</v>
      </c>
      <c r="G224" s="226">
        <v>-0.13670886075949368</v>
      </c>
      <c r="H224" s="131">
        <v>314</v>
      </c>
      <c r="I224" s="226">
        <f>(H224-F224)/F224</f>
        <v>-0.07917888563049853</v>
      </c>
      <c r="J224" s="131">
        <v>381</v>
      </c>
      <c r="K224" s="226">
        <f>(J224-H224)/H224</f>
        <v>0.21337579617834396</v>
      </c>
    </row>
    <row r="225" spans="1:11" ht="12">
      <c r="A225" s="133" t="s">
        <v>234</v>
      </c>
      <c r="B225" s="134">
        <v>3892</v>
      </c>
      <c r="C225" s="227">
        <v>-0.0702</v>
      </c>
      <c r="D225" s="134">
        <v>3750</v>
      </c>
      <c r="E225" s="227">
        <v>-0.0807</v>
      </c>
      <c r="F225" s="134">
        <v>3690</v>
      </c>
      <c r="G225" s="227">
        <v>-0.016</v>
      </c>
      <c r="H225" s="134">
        <v>3668</v>
      </c>
      <c r="I225" s="229">
        <f>(H225-F225)/F225</f>
        <v>-0.005962059620596206</v>
      </c>
      <c r="J225" s="134">
        <v>3566</v>
      </c>
      <c r="K225" s="229">
        <f>(J225-H225)/H225</f>
        <v>-0.027808069792802616</v>
      </c>
    </row>
    <row r="226" spans="1:11" ht="12">
      <c r="A226" s="18"/>
      <c r="B226" s="18"/>
      <c r="C226" s="18"/>
      <c r="D226" s="18"/>
      <c r="E226" s="18"/>
      <c r="F226" s="18"/>
      <c r="G226" s="18"/>
      <c r="H226" s="18"/>
      <c r="I226" s="18"/>
      <c r="J226" s="18"/>
      <c r="K226" s="18"/>
    </row>
    <row r="227" spans="1:11" ht="12">
      <c r="A227" s="791"/>
      <c r="B227" s="791"/>
      <c r="C227" s="791"/>
      <c r="D227" s="791"/>
      <c r="E227" s="791"/>
      <c r="F227" s="791"/>
      <c r="G227" s="791"/>
      <c r="H227" s="18"/>
      <c r="I227" s="18"/>
      <c r="J227" s="18"/>
      <c r="K227" s="18"/>
    </row>
    <row r="228" spans="1:11" ht="12">
      <c r="A228" s="18"/>
      <c r="B228" s="18"/>
      <c r="C228" s="18"/>
      <c r="D228" s="18"/>
      <c r="E228" s="18"/>
      <c r="F228" s="18"/>
      <c r="G228" s="18"/>
      <c r="H228" s="18"/>
      <c r="I228" s="18"/>
      <c r="J228" s="18"/>
      <c r="K228" s="18"/>
    </row>
    <row r="229" spans="1:11" ht="24.75" thickBot="1">
      <c r="A229" s="125"/>
      <c r="B229" s="126" t="s">
        <v>231</v>
      </c>
      <c r="C229" s="126" t="s">
        <v>235</v>
      </c>
      <c r="D229" s="126" t="s">
        <v>284</v>
      </c>
      <c r="E229" s="126" t="s">
        <v>301</v>
      </c>
      <c r="F229" s="458" t="s">
        <v>373</v>
      </c>
      <c r="H229" s="40"/>
      <c r="I229" s="40"/>
      <c r="J229" s="40"/>
      <c r="K229" s="135"/>
    </row>
    <row r="230" spans="1:11" ht="12.75" thickTop="1">
      <c r="A230" s="130" t="s">
        <v>232</v>
      </c>
      <c r="B230" s="131">
        <v>240</v>
      </c>
      <c r="C230" s="131">
        <v>253</v>
      </c>
      <c r="D230" s="131">
        <v>281</v>
      </c>
      <c r="E230" s="131">
        <v>313</v>
      </c>
      <c r="F230" s="131">
        <v>350</v>
      </c>
      <c r="H230" s="40"/>
      <c r="I230" s="40"/>
      <c r="J230" s="40"/>
      <c r="K230" s="143"/>
    </row>
    <row r="231" spans="1:11" ht="12">
      <c r="A231" s="130" t="s">
        <v>233</v>
      </c>
      <c r="B231" s="131">
        <v>465</v>
      </c>
      <c r="C231" s="131">
        <v>395</v>
      </c>
      <c r="D231" s="131">
        <v>341</v>
      </c>
      <c r="E231" s="131">
        <v>314</v>
      </c>
      <c r="F231" s="131">
        <v>381</v>
      </c>
      <c r="H231" s="40"/>
      <c r="I231" s="40"/>
      <c r="J231" s="40"/>
      <c r="K231" s="143"/>
    </row>
    <row r="232" spans="1:11" ht="12">
      <c r="A232" s="133" t="s">
        <v>234</v>
      </c>
      <c r="B232" s="134">
        <v>3892</v>
      </c>
      <c r="C232" s="134">
        <v>3750</v>
      </c>
      <c r="D232" s="134">
        <v>3690</v>
      </c>
      <c r="E232" s="134">
        <v>3668</v>
      </c>
      <c r="F232" s="134">
        <v>3566</v>
      </c>
      <c r="H232" s="40"/>
      <c r="I232" s="40"/>
      <c r="J232" s="40"/>
      <c r="K232" s="143"/>
    </row>
    <row r="233" spans="1:11" ht="12">
      <c r="A233" s="18"/>
      <c r="B233" s="18"/>
      <c r="C233" s="18"/>
      <c r="D233" s="18"/>
      <c r="E233" s="18"/>
      <c r="F233" s="18"/>
      <c r="G233" s="40"/>
      <c r="H233" s="40"/>
      <c r="I233" s="40"/>
      <c r="J233" s="40"/>
      <c r="K233" s="40"/>
    </row>
    <row r="234" spans="1:11" ht="12">
      <c r="A234" s="139"/>
      <c r="B234" s="139"/>
      <c r="C234" s="139"/>
      <c r="D234" s="139"/>
      <c r="E234" s="139"/>
      <c r="F234" s="139"/>
      <c r="G234" s="139"/>
      <c r="H234" s="139"/>
      <c r="I234" s="139"/>
      <c r="J234" s="139"/>
      <c r="K234" s="139"/>
    </row>
    <row r="235" spans="1:11" ht="12">
      <c r="A235" s="139"/>
      <c r="B235" s="139"/>
      <c r="C235" s="139"/>
      <c r="D235" s="139"/>
      <c r="E235" s="139"/>
      <c r="F235" s="139"/>
      <c r="G235" s="139"/>
      <c r="H235" s="139"/>
      <c r="I235" s="139"/>
      <c r="J235" s="139"/>
      <c r="K235" s="139"/>
    </row>
    <row r="236" spans="1:11" ht="12">
      <c r="A236" s="139"/>
      <c r="B236" s="139"/>
      <c r="C236" s="139"/>
      <c r="D236" s="139"/>
      <c r="E236" s="139"/>
      <c r="F236" s="139"/>
      <c r="G236" s="139"/>
      <c r="H236" s="139"/>
      <c r="I236" s="139"/>
      <c r="J236" s="139"/>
      <c r="K236" s="139"/>
    </row>
    <row r="237" spans="1:11" ht="12">
      <c r="A237" s="139"/>
      <c r="B237" s="139"/>
      <c r="C237" s="139"/>
      <c r="D237" s="139"/>
      <c r="E237" s="139"/>
      <c r="F237" s="139"/>
      <c r="G237" s="139"/>
      <c r="H237" s="139"/>
      <c r="I237" s="139"/>
      <c r="J237" s="139"/>
      <c r="K237" s="139"/>
    </row>
    <row r="238" spans="1:11" ht="12">
      <c r="A238" s="139"/>
      <c r="B238" s="139"/>
      <c r="C238" s="139"/>
      <c r="D238" s="139"/>
      <c r="E238" s="139"/>
      <c r="F238" s="139"/>
      <c r="G238" s="139"/>
      <c r="H238" s="139"/>
      <c r="I238" s="139"/>
      <c r="J238" s="139"/>
      <c r="K238" s="139"/>
    </row>
    <row r="239" spans="1:11" ht="12">
      <c r="A239" s="139"/>
      <c r="B239" s="139"/>
      <c r="C239" s="139"/>
      <c r="D239" s="139"/>
      <c r="E239" s="139"/>
      <c r="F239" s="139"/>
      <c r="G239" s="139"/>
      <c r="H239" s="139"/>
      <c r="I239" s="139"/>
      <c r="J239" s="139"/>
      <c r="K239" s="139"/>
    </row>
    <row r="240" spans="1:11" ht="12">
      <c r="A240" s="139"/>
      <c r="B240" s="139"/>
      <c r="C240" s="139"/>
      <c r="D240" s="139"/>
      <c r="E240" s="139"/>
      <c r="F240" s="139"/>
      <c r="G240" s="139"/>
      <c r="H240" s="139"/>
      <c r="I240" s="139"/>
      <c r="J240" s="139"/>
      <c r="K240" s="139"/>
    </row>
    <row r="241" spans="1:11" ht="12">
      <c r="A241" s="139"/>
      <c r="B241" s="139"/>
      <c r="C241" s="139"/>
      <c r="D241" s="139"/>
      <c r="E241" s="139"/>
      <c r="F241" s="139"/>
      <c r="G241" s="139"/>
      <c r="H241" s="139"/>
      <c r="I241" s="139"/>
      <c r="J241" s="139"/>
      <c r="K241" s="139"/>
    </row>
    <row r="242" spans="1:11" ht="12">
      <c r="A242" s="139"/>
      <c r="B242" s="139"/>
      <c r="C242" s="139"/>
      <c r="D242" s="139"/>
      <c r="E242" s="139"/>
      <c r="F242" s="139"/>
      <c r="G242" s="139"/>
      <c r="H242" s="139"/>
      <c r="I242" s="139"/>
      <c r="J242" s="139"/>
      <c r="K242" s="139"/>
    </row>
    <row r="243" spans="1:11" ht="12">
      <c r="A243" s="139"/>
      <c r="B243" s="139"/>
      <c r="C243" s="139"/>
      <c r="D243" s="139"/>
      <c r="E243" s="139"/>
      <c r="F243" s="139"/>
      <c r="G243" s="139"/>
      <c r="H243" s="139"/>
      <c r="I243" s="139"/>
      <c r="J243" s="139"/>
      <c r="K243" s="139"/>
    </row>
    <row r="244" spans="1:11" ht="12">
      <c r="A244" s="139"/>
      <c r="B244" s="139"/>
      <c r="C244" s="139"/>
      <c r="D244" s="139"/>
      <c r="E244" s="139"/>
      <c r="F244" s="139"/>
      <c r="G244" s="139"/>
      <c r="H244" s="139"/>
      <c r="I244" s="139"/>
      <c r="J244" s="139"/>
      <c r="K244" s="139"/>
    </row>
    <row r="245" spans="1:11" ht="12">
      <c r="A245" s="139"/>
      <c r="B245" s="139"/>
      <c r="C245" s="139"/>
      <c r="D245" s="139"/>
      <c r="E245" s="139"/>
      <c r="F245" s="139"/>
      <c r="G245" s="139"/>
      <c r="H245" s="139"/>
      <c r="I245" s="139"/>
      <c r="J245" s="139"/>
      <c r="K245" s="139"/>
    </row>
    <row r="246" spans="1:11" ht="12">
      <c r="A246" s="139"/>
      <c r="B246" s="139"/>
      <c r="C246" s="139"/>
      <c r="D246" s="139"/>
      <c r="E246" s="139"/>
      <c r="F246" s="139"/>
      <c r="G246" s="139"/>
      <c r="H246" s="139"/>
      <c r="I246" s="139"/>
      <c r="J246" s="139"/>
      <c r="K246" s="139"/>
    </row>
    <row r="247" spans="1:11" ht="12">
      <c r="A247" s="139"/>
      <c r="B247" s="139"/>
      <c r="C247" s="139"/>
      <c r="D247" s="139"/>
      <c r="E247" s="139"/>
      <c r="F247" s="139"/>
      <c r="G247" s="139"/>
      <c r="H247" s="139"/>
      <c r="I247" s="139"/>
      <c r="J247" s="139"/>
      <c r="K247" s="139"/>
    </row>
    <row r="248" spans="1:11" ht="12">
      <c r="A248" s="139"/>
      <c r="B248" s="139"/>
      <c r="C248" s="139"/>
      <c r="D248" s="139"/>
      <c r="E248" s="139"/>
      <c r="F248" s="139"/>
      <c r="G248" s="139"/>
      <c r="H248" s="139"/>
      <c r="I248" s="139"/>
      <c r="J248" s="139"/>
      <c r="K248" s="139"/>
    </row>
    <row r="249" spans="1:11" ht="12">
      <c r="A249" s="139"/>
      <c r="B249" s="139"/>
      <c r="C249" s="139"/>
      <c r="D249" s="139"/>
      <c r="E249" s="139"/>
      <c r="F249" s="139"/>
      <c r="G249" s="139"/>
      <c r="H249" s="139"/>
      <c r="I249" s="139"/>
      <c r="J249" s="139"/>
      <c r="K249" s="139"/>
    </row>
    <row r="250" spans="1:11" ht="12">
      <c r="A250" s="139"/>
      <c r="B250" s="139"/>
      <c r="C250" s="139"/>
      <c r="D250" s="139"/>
      <c r="E250" s="139"/>
      <c r="F250" s="139"/>
      <c r="G250" s="139"/>
      <c r="H250" s="139"/>
      <c r="I250" s="139"/>
      <c r="J250" s="139"/>
      <c r="K250" s="139"/>
    </row>
    <row r="251" spans="1:11" ht="12">
      <c r="A251" s="139"/>
      <c r="B251" s="139"/>
      <c r="C251" s="139"/>
      <c r="D251" s="139"/>
      <c r="E251" s="139"/>
      <c r="F251" s="139"/>
      <c r="G251" s="139"/>
      <c r="H251" s="139"/>
      <c r="I251" s="139"/>
      <c r="J251" s="139"/>
      <c r="K251" s="139"/>
    </row>
    <row r="252" spans="1:11" ht="12">
      <c r="A252" s="139"/>
      <c r="B252" s="139"/>
      <c r="C252" s="139"/>
      <c r="D252" s="139"/>
      <c r="E252" s="139"/>
      <c r="F252" s="139"/>
      <c r="G252" s="139"/>
      <c r="H252" s="139"/>
      <c r="I252" s="139"/>
      <c r="J252" s="139"/>
      <c r="K252" s="139"/>
    </row>
    <row r="253" spans="1:11" ht="12">
      <c r="A253" s="139"/>
      <c r="B253" s="139"/>
      <c r="C253" s="139"/>
      <c r="D253" s="139"/>
      <c r="E253" s="139"/>
      <c r="F253" s="139"/>
      <c r="G253" s="139"/>
      <c r="H253" s="139"/>
      <c r="I253" s="139"/>
      <c r="J253" s="139"/>
      <c r="K253" s="139"/>
    </row>
    <row r="254" spans="1:11" ht="12">
      <c r="A254" s="139"/>
      <c r="B254" s="139"/>
      <c r="C254" s="139"/>
      <c r="D254" s="139"/>
      <c r="E254" s="139"/>
      <c r="F254" s="139"/>
      <c r="G254" s="139"/>
      <c r="H254" s="139"/>
      <c r="I254" s="139"/>
      <c r="J254" s="139"/>
      <c r="K254" s="139"/>
    </row>
    <row r="255" spans="1:11" ht="12">
      <c r="A255" s="139"/>
      <c r="B255" s="139"/>
      <c r="C255" s="139"/>
      <c r="D255" s="139"/>
      <c r="E255" s="139"/>
      <c r="F255" s="139"/>
      <c r="G255" s="139"/>
      <c r="H255" s="139"/>
      <c r="I255" s="139"/>
      <c r="J255" s="139"/>
      <c r="K255" s="139"/>
    </row>
    <row r="256" spans="1:11" ht="12">
      <c r="A256" s="139"/>
      <c r="B256" s="139"/>
      <c r="C256" s="139"/>
      <c r="D256" s="139"/>
      <c r="E256" s="139"/>
      <c r="F256" s="139"/>
      <c r="G256" s="139"/>
      <c r="H256" s="139"/>
      <c r="I256" s="139"/>
      <c r="J256" s="139"/>
      <c r="K256" s="139"/>
    </row>
    <row r="257" spans="1:11" ht="12">
      <c r="A257" s="139"/>
      <c r="B257" s="139"/>
      <c r="C257" s="139"/>
      <c r="D257" s="139"/>
      <c r="E257" s="139"/>
      <c r="F257" s="139"/>
      <c r="G257" s="139"/>
      <c r="H257" s="139"/>
      <c r="I257" s="139"/>
      <c r="J257" s="139"/>
      <c r="K257" s="139"/>
    </row>
    <row r="258" spans="1:11" ht="12">
      <c r="A258" s="139"/>
      <c r="B258" s="139"/>
      <c r="C258" s="139"/>
      <c r="D258" s="139"/>
      <c r="E258" s="139"/>
      <c r="F258" s="139"/>
      <c r="G258" s="139"/>
      <c r="H258" s="139"/>
      <c r="I258" s="139"/>
      <c r="J258" s="139"/>
      <c r="K258" s="139"/>
    </row>
    <row r="259" spans="1:11" ht="12">
      <c r="A259" s="139"/>
      <c r="B259" s="139"/>
      <c r="C259" s="139"/>
      <c r="D259" s="139"/>
      <c r="E259" s="139"/>
      <c r="F259" s="139"/>
      <c r="G259" s="139"/>
      <c r="H259" s="139"/>
      <c r="I259" s="139"/>
      <c r="J259" s="139"/>
      <c r="K259" s="139"/>
    </row>
    <row r="260" spans="1:11" ht="12">
      <c r="A260" s="139"/>
      <c r="B260" s="139"/>
      <c r="C260" s="139"/>
      <c r="D260" s="139"/>
      <c r="E260" s="139"/>
      <c r="F260" s="139"/>
      <c r="G260" s="139"/>
      <c r="H260" s="139"/>
      <c r="I260" s="139"/>
      <c r="J260" s="139"/>
      <c r="K260" s="139"/>
    </row>
    <row r="261" spans="1:11" ht="12">
      <c r="A261" s="139"/>
      <c r="B261" s="139"/>
      <c r="C261" s="139"/>
      <c r="D261" s="139"/>
      <c r="E261" s="139"/>
      <c r="F261" s="139"/>
      <c r="G261" s="139"/>
      <c r="H261" s="139"/>
      <c r="I261" s="139"/>
      <c r="J261" s="139"/>
      <c r="K261" s="139"/>
    </row>
    <row r="262" spans="1:11" ht="12">
      <c r="A262" s="139"/>
      <c r="B262" s="139"/>
      <c r="C262" s="139"/>
      <c r="D262" s="139"/>
      <c r="E262" s="139"/>
      <c r="F262" s="139"/>
      <c r="G262" s="139"/>
      <c r="H262" s="139"/>
      <c r="I262" s="139"/>
      <c r="J262" s="139"/>
      <c r="K262" s="139"/>
    </row>
    <row r="263" spans="1:11" ht="12">
      <c r="A263" s="139"/>
      <c r="B263" s="139"/>
      <c r="C263" s="139"/>
      <c r="D263" s="139"/>
      <c r="E263" s="139"/>
      <c r="F263" s="139"/>
      <c r="G263" s="139"/>
      <c r="H263" s="139"/>
      <c r="I263" s="139"/>
      <c r="J263" s="139"/>
      <c r="K263" s="139"/>
    </row>
    <row r="264" spans="1:11" ht="12">
      <c r="A264" s="139"/>
      <c r="B264" s="139"/>
      <c r="C264" s="139"/>
      <c r="D264" s="139"/>
      <c r="E264" s="139"/>
      <c r="F264" s="139"/>
      <c r="G264" s="139"/>
      <c r="H264" s="139"/>
      <c r="I264" s="139"/>
      <c r="J264" s="139"/>
      <c r="K264" s="139"/>
    </row>
    <row r="265" spans="1:11" ht="12">
      <c r="A265" s="139"/>
      <c r="B265" s="139"/>
      <c r="C265" s="139"/>
      <c r="D265" s="139"/>
      <c r="E265" s="139"/>
      <c r="F265" s="139"/>
      <c r="G265" s="139"/>
      <c r="H265" s="139"/>
      <c r="I265" s="139"/>
      <c r="J265" s="139"/>
      <c r="K265" s="139"/>
    </row>
    <row r="266" spans="1:11" ht="12">
      <c r="A266" s="139"/>
      <c r="B266" s="139"/>
      <c r="C266" s="139"/>
      <c r="D266" s="139"/>
      <c r="E266" s="139"/>
      <c r="F266" s="139"/>
      <c r="G266" s="139"/>
      <c r="H266" s="139"/>
      <c r="I266" s="139"/>
      <c r="J266" s="139"/>
      <c r="K266" s="139"/>
    </row>
    <row r="267" spans="1:11" ht="12">
      <c r="A267" s="139"/>
      <c r="B267" s="139"/>
      <c r="C267" s="139"/>
      <c r="D267" s="139"/>
      <c r="E267" s="139"/>
      <c r="F267" s="139"/>
      <c r="G267" s="139"/>
      <c r="H267" s="139"/>
      <c r="I267" s="139"/>
      <c r="J267" s="139"/>
      <c r="K267" s="139"/>
    </row>
    <row r="268" spans="1:11" ht="12">
      <c r="A268" s="139"/>
      <c r="B268" s="139"/>
      <c r="C268" s="139"/>
      <c r="D268" s="139"/>
      <c r="E268" s="139"/>
      <c r="F268" s="139"/>
      <c r="G268" s="139"/>
      <c r="H268" s="139"/>
      <c r="I268" s="139"/>
      <c r="J268" s="139"/>
      <c r="K268" s="139"/>
    </row>
    <row r="269" spans="1:11" ht="12">
      <c r="A269" s="139"/>
      <c r="B269" s="139"/>
      <c r="C269" s="139"/>
      <c r="D269" s="139"/>
      <c r="E269" s="139"/>
      <c r="F269" s="139"/>
      <c r="G269" s="139"/>
      <c r="H269" s="139"/>
      <c r="I269" s="139"/>
      <c r="J269" s="139"/>
      <c r="K269" s="139"/>
    </row>
    <row r="270" spans="1:11" ht="12">
      <c r="A270" s="139"/>
      <c r="B270" s="139"/>
      <c r="C270" s="139"/>
      <c r="D270" s="139"/>
      <c r="E270" s="139"/>
      <c r="F270" s="139"/>
      <c r="G270" s="139"/>
      <c r="H270" s="139"/>
      <c r="I270" s="139"/>
      <c r="J270" s="139"/>
      <c r="K270" s="139"/>
    </row>
    <row r="271" spans="1:11" ht="12">
      <c r="A271" s="139"/>
      <c r="B271" s="139"/>
      <c r="C271" s="139"/>
      <c r="D271" s="139"/>
      <c r="E271" s="139"/>
      <c r="F271" s="139"/>
      <c r="G271" s="139"/>
      <c r="H271" s="139"/>
      <c r="I271" s="139"/>
      <c r="J271" s="139"/>
      <c r="K271" s="139"/>
    </row>
    <row r="272" spans="1:11" ht="12">
      <c r="A272" s="139"/>
      <c r="B272" s="139"/>
      <c r="C272" s="139"/>
      <c r="D272" s="139"/>
      <c r="E272" s="139"/>
      <c r="F272" s="139"/>
      <c r="G272" s="139"/>
      <c r="H272" s="139"/>
      <c r="I272" s="139"/>
      <c r="J272" s="139"/>
      <c r="K272" s="139"/>
    </row>
    <row r="273" spans="1:11" ht="12">
      <c r="A273" s="139"/>
      <c r="B273" s="139"/>
      <c r="C273" s="139"/>
      <c r="D273" s="139"/>
      <c r="E273" s="139"/>
      <c r="F273" s="139"/>
      <c r="G273" s="139"/>
      <c r="H273" s="139"/>
      <c r="I273" s="139"/>
      <c r="J273" s="139"/>
      <c r="K273" s="139"/>
    </row>
    <row r="274" spans="1:11" ht="12">
      <c r="A274" s="139"/>
      <c r="B274" s="139"/>
      <c r="C274" s="139"/>
      <c r="D274" s="139"/>
      <c r="E274" s="139"/>
      <c r="F274" s="139"/>
      <c r="G274" s="139"/>
      <c r="H274" s="139"/>
      <c r="I274" s="139"/>
      <c r="J274" s="139"/>
      <c r="K274" s="139"/>
    </row>
    <row r="275" spans="1:11" ht="12">
      <c r="A275" s="139"/>
      <c r="B275" s="139"/>
      <c r="C275" s="139"/>
      <c r="D275" s="139"/>
      <c r="E275" s="139"/>
      <c r="F275" s="139"/>
      <c r="G275" s="139"/>
      <c r="H275" s="139"/>
      <c r="I275" s="139"/>
      <c r="J275" s="139"/>
      <c r="K275" s="139"/>
    </row>
    <row r="276" spans="1:11" ht="12">
      <c r="A276" s="139"/>
      <c r="B276" s="139"/>
      <c r="C276" s="139"/>
      <c r="D276" s="139"/>
      <c r="E276" s="139"/>
      <c r="F276" s="139"/>
      <c r="G276" s="139"/>
      <c r="H276" s="139"/>
      <c r="I276" s="139"/>
      <c r="J276" s="139"/>
      <c r="K276" s="139"/>
    </row>
    <row r="277" spans="1:11" ht="12">
      <c r="A277" s="139"/>
      <c r="B277" s="139"/>
      <c r="C277" s="139"/>
      <c r="D277" s="139"/>
      <c r="E277" s="139"/>
      <c r="F277" s="139"/>
      <c r="G277" s="139"/>
      <c r="H277" s="139"/>
      <c r="I277" s="139"/>
      <c r="J277" s="139"/>
      <c r="K277" s="139"/>
    </row>
    <row r="278" spans="1:11" ht="12">
      <c r="A278" s="139"/>
      <c r="B278" s="139"/>
      <c r="C278" s="139"/>
      <c r="D278" s="139"/>
      <c r="E278" s="139"/>
      <c r="F278" s="139"/>
      <c r="G278" s="139"/>
      <c r="H278" s="139"/>
      <c r="I278" s="139"/>
      <c r="J278" s="139"/>
      <c r="K278" s="139"/>
    </row>
    <row r="279" spans="1:11" ht="12">
      <c r="A279" s="139"/>
      <c r="B279" s="139"/>
      <c r="C279" s="139"/>
      <c r="D279" s="139"/>
      <c r="E279" s="139"/>
      <c r="F279" s="139"/>
      <c r="G279" s="139"/>
      <c r="H279" s="139"/>
      <c r="I279" s="139"/>
      <c r="J279" s="139"/>
      <c r="K279" s="139"/>
    </row>
    <row r="280" spans="1:11" ht="12">
      <c r="A280" s="139"/>
      <c r="B280" s="139"/>
      <c r="C280" s="139"/>
      <c r="D280" s="139"/>
      <c r="E280" s="139"/>
      <c r="F280" s="139"/>
      <c r="G280" s="139"/>
      <c r="H280" s="139"/>
      <c r="I280" s="139"/>
      <c r="J280" s="139"/>
      <c r="K280" s="139"/>
    </row>
    <row r="281" spans="1:11" ht="12">
      <c r="A281" s="139"/>
      <c r="B281" s="139"/>
      <c r="C281" s="139"/>
      <c r="D281" s="139"/>
      <c r="E281" s="139"/>
      <c r="F281" s="139"/>
      <c r="G281" s="139"/>
      <c r="H281" s="139"/>
      <c r="I281" s="139"/>
      <c r="J281" s="139"/>
      <c r="K281" s="139"/>
    </row>
    <row r="282" spans="1:11" ht="12">
      <c r="A282" s="139"/>
      <c r="B282" s="139"/>
      <c r="C282" s="139"/>
      <c r="D282" s="139"/>
      <c r="E282" s="139"/>
      <c r="F282" s="139"/>
      <c r="G282" s="139"/>
      <c r="H282" s="139"/>
      <c r="I282" s="139"/>
      <c r="J282" s="139"/>
      <c r="K282" s="139"/>
    </row>
    <row r="283" spans="1:11" ht="12">
      <c r="A283" s="139"/>
      <c r="B283" s="139"/>
      <c r="C283" s="139"/>
      <c r="D283" s="139"/>
      <c r="E283" s="139"/>
      <c r="F283" s="139"/>
      <c r="G283" s="139"/>
      <c r="H283" s="139"/>
      <c r="I283" s="139"/>
      <c r="J283" s="139"/>
      <c r="K283" s="139"/>
    </row>
    <row r="284" spans="1:11" ht="12">
      <c r="A284" s="139"/>
      <c r="B284" s="139"/>
      <c r="C284" s="139"/>
      <c r="D284" s="139"/>
      <c r="E284" s="139"/>
      <c r="F284" s="139"/>
      <c r="G284" s="139"/>
      <c r="H284" s="139"/>
      <c r="I284" s="139"/>
      <c r="J284" s="139"/>
      <c r="K284" s="139"/>
    </row>
    <row r="285" spans="1:11" ht="12">
      <c r="A285" s="139"/>
      <c r="B285" s="139"/>
      <c r="C285" s="139"/>
      <c r="D285" s="139"/>
      <c r="E285" s="139"/>
      <c r="F285" s="139"/>
      <c r="G285" s="139"/>
      <c r="H285" s="139"/>
      <c r="I285" s="139"/>
      <c r="J285" s="139"/>
      <c r="K285" s="139"/>
    </row>
    <row r="286" spans="1:11" ht="12">
      <c r="A286" s="139"/>
      <c r="B286" s="139"/>
      <c r="C286" s="139"/>
      <c r="D286" s="139"/>
      <c r="E286" s="139"/>
      <c r="F286" s="139"/>
      <c r="G286" s="139"/>
      <c r="H286" s="139"/>
      <c r="I286" s="139"/>
      <c r="J286" s="139"/>
      <c r="K286" s="139"/>
    </row>
    <row r="287" spans="1:11" ht="12">
      <c r="A287" s="139"/>
      <c r="B287" s="139"/>
      <c r="C287" s="139"/>
      <c r="D287" s="139"/>
      <c r="E287" s="139"/>
      <c r="F287" s="139"/>
      <c r="G287" s="139"/>
      <c r="H287" s="139"/>
      <c r="I287" s="139"/>
      <c r="J287" s="139"/>
      <c r="K287" s="139"/>
    </row>
    <row r="288" spans="1:11" ht="12">
      <c r="A288" s="139"/>
      <c r="B288" s="139"/>
      <c r="C288" s="139"/>
      <c r="D288" s="139"/>
      <c r="E288" s="139"/>
      <c r="F288" s="139"/>
      <c r="G288" s="139"/>
      <c r="H288" s="139"/>
      <c r="I288" s="139"/>
      <c r="J288" s="139"/>
      <c r="K288" s="139"/>
    </row>
    <row r="289" spans="1:11" ht="12">
      <c r="A289" s="139"/>
      <c r="B289" s="139"/>
      <c r="C289" s="139"/>
      <c r="D289" s="139"/>
      <c r="E289" s="139"/>
      <c r="F289" s="139"/>
      <c r="G289" s="139"/>
      <c r="H289" s="139"/>
      <c r="I289" s="139"/>
      <c r="J289" s="139"/>
      <c r="K289" s="139"/>
    </row>
    <row r="290" spans="1:11" ht="12">
      <c r="A290" s="139"/>
      <c r="B290" s="139"/>
      <c r="C290" s="139"/>
      <c r="D290" s="139"/>
      <c r="E290" s="139"/>
      <c r="F290" s="139"/>
      <c r="G290" s="139"/>
      <c r="H290" s="139"/>
      <c r="I290" s="139"/>
      <c r="J290" s="139"/>
      <c r="K290" s="139"/>
    </row>
  </sheetData>
  <sheetProtection/>
  <mergeCells count="13">
    <mergeCell ref="A120:K120"/>
    <mergeCell ref="A1:D1"/>
    <mergeCell ref="B2:D2"/>
    <mergeCell ref="A40:K40"/>
    <mergeCell ref="A47:G47"/>
    <mergeCell ref="A82:K82"/>
    <mergeCell ref="A227:G227"/>
    <mergeCell ref="A152:K152"/>
    <mergeCell ref="A186:K186"/>
    <mergeCell ref="A221:K221"/>
    <mergeCell ref="A126:G126"/>
    <mergeCell ref="A158:G158"/>
    <mergeCell ref="A192:G19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2:K19"/>
  <sheetViews>
    <sheetView zoomScalePageLayoutView="0" workbookViewId="0" topLeftCell="A1">
      <selection activeCell="B6" sqref="B6"/>
    </sheetView>
  </sheetViews>
  <sheetFormatPr defaultColWidth="9.140625" defaultRowHeight="12.75"/>
  <cols>
    <col min="1" max="1" width="36.8515625" style="163" customWidth="1"/>
    <col min="2" max="2" width="10.57421875" style="164" bestFit="1" customWidth="1"/>
    <col min="3" max="4" width="9.140625" style="164" customWidth="1"/>
    <col min="6" max="6" width="10.7109375" style="0" customWidth="1"/>
    <col min="7" max="7" width="9.00390625" style="0" bestFit="1" customWidth="1"/>
    <col min="8" max="8" width="12.00390625" style="0" customWidth="1"/>
    <col min="10" max="10" width="37.421875" style="0" bestFit="1" customWidth="1"/>
  </cols>
  <sheetData>
    <row r="1" ht="12.75"/>
    <row r="2" ht="11.25">
      <c r="A2" s="166"/>
    </row>
    <row r="3" ht="11.25">
      <c r="A3" s="165"/>
    </row>
    <row r="4" spans="1:8" ht="23.25" customHeight="1">
      <c r="A4" s="798" t="s">
        <v>468</v>
      </c>
      <c r="B4" s="798"/>
      <c r="C4" s="798"/>
      <c r="D4" s="798"/>
      <c r="E4" s="798"/>
      <c r="F4" s="798"/>
      <c r="G4" s="798"/>
      <c r="H4" s="798"/>
    </row>
    <row r="5" spans="1:11" ht="26.25" customHeight="1">
      <c r="A5" s="151" t="s">
        <v>201</v>
      </c>
      <c r="B5" s="152" t="s">
        <v>222</v>
      </c>
      <c r="C5" s="152" t="s">
        <v>1</v>
      </c>
      <c r="D5" s="152" t="s">
        <v>2</v>
      </c>
      <c r="E5" s="152" t="s">
        <v>228</v>
      </c>
      <c r="F5" s="152" t="s">
        <v>241</v>
      </c>
      <c r="G5" s="152" t="s">
        <v>223</v>
      </c>
      <c r="H5" s="152" t="s">
        <v>224</v>
      </c>
      <c r="J5" s="151" t="s">
        <v>201</v>
      </c>
      <c r="K5" s="152" t="s">
        <v>228</v>
      </c>
    </row>
    <row r="6" spans="1:11" ht="16.5" customHeight="1">
      <c r="A6" s="153" t="s">
        <v>12</v>
      </c>
      <c r="B6" s="154">
        <f>E6-C6+D6</f>
        <v>38620</v>
      </c>
      <c r="C6" s="155">
        <v>22910</v>
      </c>
      <c r="D6" s="155">
        <v>19011</v>
      </c>
      <c r="E6" s="155">
        <v>42519</v>
      </c>
      <c r="F6" s="156">
        <f>(E6-B6)/B6</f>
        <v>0.10095805282237183</v>
      </c>
      <c r="G6" s="157">
        <f>D6/C6</f>
        <v>0.8298123090353557</v>
      </c>
      <c r="H6" s="157">
        <f>D6/(B6+C6)</f>
        <v>0.30897123354461237</v>
      </c>
      <c r="J6" s="153" t="s">
        <v>12</v>
      </c>
      <c r="K6" s="155">
        <f>E6</f>
        <v>42519</v>
      </c>
    </row>
    <row r="7" spans="1:11" ht="16.5" customHeight="1">
      <c r="A7" s="158" t="s">
        <v>242</v>
      </c>
      <c r="B7" s="154">
        <f aca="true" t="shared" si="0" ref="B7:B16">E7-C7+D7</f>
        <v>4805</v>
      </c>
      <c r="C7" s="155">
        <f>'Tav_1.2 Trib-Sez_dist x materia'!K35+'Tav_1.2 Trib-Sez_dist x materia'!K36+'Tav_1.2 Trib-Sez_dist x materia'!K37+'Tav_1.2 Trib-Sez_dist x materia'!K38+'Tav_1.2 Trib-Sez_dist x materia'!K39</f>
        <v>4184</v>
      </c>
      <c r="D7" s="155">
        <f>'Tav_1.2 Trib-Sez_dist x materia'!L35+'Tav_1.2 Trib-Sez_dist x materia'!L36+'Tav_1.2 Trib-Sez_dist x materia'!L37+'Tav_1.2 Trib-Sez_dist x materia'!L38+'Tav_1.2 Trib-Sez_dist x materia'!L39</f>
        <v>3751</v>
      </c>
      <c r="E7" s="155">
        <f>'Tav_1.2 Trib-Sez_dist x materia'!M35+'Tav_1.2 Trib-Sez_dist x materia'!M36+'Tav_1.2 Trib-Sez_dist x materia'!M37+'Tav_1.2 Trib-Sez_dist x materia'!M38+'Tav_1.2 Trib-Sez_dist x materia'!M39</f>
        <v>5238</v>
      </c>
      <c r="F7" s="157">
        <f aca="true" t="shared" si="1" ref="F7:F16">(E7-B7)/B7</f>
        <v>0.09011446409989594</v>
      </c>
      <c r="G7" s="157">
        <f aca="true" t="shared" si="2" ref="G7:G17">D7/C7</f>
        <v>0.8965105162523901</v>
      </c>
      <c r="H7" s="157">
        <f aca="true" t="shared" si="3" ref="H7:H17">D7/(B7+C7)</f>
        <v>0.4172877961953499</v>
      </c>
      <c r="J7" s="158" t="s">
        <v>242</v>
      </c>
      <c r="K7" s="155">
        <f aca="true" t="shared" si="4" ref="K7:K16">E7</f>
        <v>5238</v>
      </c>
    </row>
    <row r="8" spans="1:11" ht="16.5" customHeight="1">
      <c r="A8" s="158" t="s">
        <v>243</v>
      </c>
      <c r="B8" s="154">
        <f t="shared" si="0"/>
        <v>2135</v>
      </c>
      <c r="C8" s="155">
        <f>'Tav_1.2 Trib-Sez_dist x materia'!O35+'Tav_1.2 Trib-Sez_dist x materia'!O36+'Tav_1.2 Trib-Sez_dist x materia'!O37+'Tav_1.2 Trib-Sez_dist x materia'!O38+'Tav_1.2 Trib-Sez_dist x materia'!O39</f>
        <v>1883</v>
      </c>
      <c r="D8" s="155">
        <f>'Tav_1.2 Trib-Sez_dist x materia'!P35+'Tav_1.2 Trib-Sez_dist x materia'!P36+'Tav_1.2 Trib-Sez_dist x materia'!P37+'Tav_1.2 Trib-Sez_dist x materia'!P38+'Tav_1.2 Trib-Sez_dist x materia'!P39</f>
        <v>1762</v>
      </c>
      <c r="E8" s="155">
        <f>'Tav_1.2 Trib-Sez_dist x materia'!Q35+'Tav_1.2 Trib-Sez_dist x materia'!Q36+'Tav_1.2 Trib-Sez_dist x materia'!Q37+'Tav_1.2 Trib-Sez_dist x materia'!Q38+'Tav_1.2 Trib-Sez_dist x materia'!Q39</f>
        <v>2256</v>
      </c>
      <c r="F8" s="157">
        <f t="shared" si="1"/>
        <v>0.05667447306791569</v>
      </c>
      <c r="G8" s="157">
        <f t="shared" si="2"/>
        <v>0.935740839086564</v>
      </c>
      <c r="H8" s="157">
        <f t="shared" si="3"/>
        <v>0.4385266301642608</v>
      </c>
      <c r="J8" s="158" t="s">
        <v>243</v>
      </c>
      <c r="K8" s="155">
        <f t="shared" si="4"/>
        <v>2256</v>
      </c>
    </row>
    <row r="9" spans="1:11" ht="16.5" customHeight="1">
      <c r="A9" s="153" t="s">
        <v>16</v>
      </c>
      <c r="B9" s="154">
        <f t="shared" si="0"/>
        <v>17851</v>
      </c>
      <c r="C9" s="155">
        <f>'Tav_1.2 Trib-Sez_dist x materia'!C35+'Tav_1.2 Trib-Sez_dist x materia'!C36+'Tav_1.2 Trib-Sez_dist x materia'!C37+'Tav_1.2 Trib-Sez_dist x materia'!C38+'Tav_1.2 Trib-Sez_dist x materia'!C39</f>
        <v>4637</v>
      </c>
      <c r="D9" s="155">
        <f>'Tav_1.2 Trib-Sez_dist x materia'!D35+'Tav_1.2 Trib-Sez_dist x materia'!D36+'Tav_1.2 Trib-Sez_dist x materia'!D37+'Tav_1.2 Trib-Sez_dist x materia'!D38+'Tav_1.2 Trib-Sez_dist x materia'!D39</f>
        <v>4034</v>
      </c>
      <c r="E9" s="155">
        <f>'Tav_1.2 Trib-Sez_dist x materia'!E35+'Tav_1.2 Trib-Sez_dist x materia'!E36+'Tav_1.2 Trib-Sez_dist x materia'!E37+'Tav_1.2 Trib-Sez_dist x materia'!E38+'Tav_1.2 Trib-Sez_dist x materia'!E39</f>
        <v>18454</v>
      </c>
      <c r="F9" s="157">
        <f t="shared" si="1"/>
        <v>0.03377962018934513</v>
      </c>
      <c r="G9" s="157">
        <f t="shared" si="2"/>
        <v>0.8699590252318309</v>
      </c>
      <c r="H9" s="157">
        <f t="shared" si="3"/>
        <v>0.17938456065457134</v>
      </c>
      <c r="J9" s="153" t="s">
        <v>16</v>
      </c>
      <c r="K9" s="155">
        <f t="shared" si="4"/>
        <v>18454</v>
      </c>
    </row>
    <row r="10" spans="1:11" ht="16.5" customHeight="1">
      <c r="A10" s="158" t="s">
        <v>9</v>
      </c>
      <c r="B10" s="154">
        <f t="shared" si="0"/>
        <v>18207</v>
      </c>
      <c r="C10" s="155">
        <f>'Tav_1.2 Trib-Sez_dist x materia'!G35+'Tav_1.2 Trib-Sez_dist x materia'!G36+'Tav_1.2 Trib-Sez_dist x materia'!G37+'Tav_1.2 Trib-Sez_dist x materia'!G38+'Tav_1.2 Trib-Sez_dist x materia'!G39</f>
        <v>5248</v>
      </c>
      <c r="D10" s="155">
        <f>'Tav_1.2 Trib-Sez_dist x materia'!H35+'Tav_1.2 Trib-Sez_dist x materia'!H36+'Tav_1.2 Trib-Sez_dist x materia'!H37+'Tav_1.2 Trib-Sez_dist x materia'!H38+'Tav_1.2 Trib-Sez_dist x materia'!H39</f>
        <v>6366</v>
      </c>
      <c r="E10" s="155">
        <f>'Tav_1.2 Trib-Sez_dist x materia'!I35+'Tav_1.2 Trib-Sez_dist x materia'!I36+'Tav_1.2 Trib-Sez_dist x materia'!I37+'Tav_1.2 Trib-Sez_dist x materia'!I38+'Tav_1.2 Trib-Sez_dist x materia'!I39</f>
        <v>17089</v>
      </c>
      <c r="F10" s="157">
        <f t="shared" si="1"/>
        <v>-0.06140495413851815</v>
      </c>
      <c r="G10" s="157">
        <f t="shared" si="2"/>
        <v>1.213033536585366</v>
      </c>
      <c r="H10" s="157">
        <f t="shared" si="3"/>
        <v>0.271413344702622</v>
      </c>
      <c r="J10" s="158" t="s">
        <v>9</v>
      </c>
      <c r="K10" s="155">
        <f t="shared" si="4"/>
        <v>17089</v>
      </c>
    </row>
    <row r="11" spans="1:11" ht="16.5" customHeight="1">
      <c r="A11" s="158" t="s">
        <v>13</v>
      </c>
      <c r="B11" s="154">
        <f t="shared" si="0"/>
        <v>13318</v>
      </c>
      <c r="C11" s="155">
        <f>'Tav_1.2 Trib-Sez_dist x materia'!H8+'Tav_1.2 Trib-Sez_dist x materia'!H17+'Tav_1.2 Trib-Sez_dist x materia'!H21+'Tav_1.2 Trib-Sez_dist x materia'!H26</f>
        <v>16776</v>
      </c>
      <c r="D11" s="155">
        <f>'Tav_1.2 Trib-Sez_dist x materia'!I8+'Tav_1.2 Trib-Sez_dist x materia'!I17+'Tav_1.2 Trib-Sez_dist x materia'!I21+'Tav_1.2 Trib-Sez_dist x materia'!I26</f>
        <v>13593</v>
      </c>
      <c r="E11" s="155">
        <f>'Tav_1.2 Trib-Sez_dist x materia'!J8+'Tav_1.2 Trib-Sez_dist x materia'!J17+'Tav_1.2 Trib-Sez_dist x materia'!J21+'Tav_1.2 Trib-Sez_dist x materia'!J26</f>
        <v>16501</v>
      </c>
      <c r="F11" s="157">
        <f t="shared" si="1"/>
        <v>0.2389998498273014</v>
      </c>
      <c r="G11" s="157">
        <f t="shared" si="2"/>
        <v>0.8102646638054364</v>
      </c>
      <c r="H11" s="157">
        <f t="shared" si="3"/>
        <v>0.4516847212068851</v>
      </c>
      <c r="J11" s="158" t="s">
        <v>13</v>
      </c>
      <c r="K11" s="155">
        <f t="shared" si="4"/>
        <v>16501</v>
      </c>
    </row>
    <row r="12" spans="1:11" ht="16.5" customHeight="1">
      <c r="A12" s="158" t="s">
        <v>14</v>
      </c>
      <c r="B12" s="154">
        <f t="shared" si="0"/>
        <v>13785</v>
      </c>
      <c r="C12" s="155">
        <f>'Tav_1.2 Trib-Sez_dist x materia'!L8+'Tav_1.2 Trib-Sez_dist x materia'!L17+'Tav_1.2 Trib-Sez_dist x materia'!L21+'Tav_1.2 Trib-Sez_dist x materia'!L26</f>
        <v>2793</v>
      </c>
      <c r="D12" s="155">
        <f>'Tav_1.2 Trib-Sez_dist x materia'!M8+'Tav_1.2 Trib-Sez_dist x materia'!M17+'Tav_1.2 Trib-Sez_dist x materia'!M21+'Tav_1.2 Trib-Sez_dist x materia'!M26</f>
        <v>2458</v>
      </c>
      <c r="E12" s="155">
        <f>'Tav_1.2 Trib-Sez_dist x materia'!N8+'Tav_1.2 Trib-Sez_dist x materia'!N17+'Tav_1.2 Trib-Sez_dist x materia'!N21+'Tav_1.2 Trib-Sez_dist x materia'!N26</f>
        <v>14120</v>
      </c>
      <c r="F12" s="157">
        <f t="shared" si="1"/>
        <v>0.024301777294160318</v>
      </c>
      <c r="G12" s="157">
        <f t="shared" si="2"/>
        <v>0.8800572860723237</v>
      </c>
      <c r="H12" s="157">
        <f t="shared" si="3"/>
        <v>0.14826878996260104</v>
      </c>
      <c r="J12" s="158" t="s">
        <v>14</v>
      </c>
      <c r="K12" s="155">
        <f t="shared" si="4"/>
        <v>14120</v>
      </c>
    </row>
    <row r="13" spans="1:11" ht="16.5" customHeight="1">
      <c r="A13" s="153" t="s">
        <v>10</v>
      </c>
      <c r="B13" s="154">
        <f t="shared" si="0"/>
        <v>595</v>
      </c>
      <c r="C13" s="155">
        <f>'Tav_1.2 Trib-Sez_dist x materia'!C48+'Tav_1.2 Trib-Sez_dist x materia'!C49+'Tav_1.2 Trib-Sez_dist x materia'!C50+'Tav_1.2 Trib-Sez_dist x materia'!C51+'Tav_1.2 Trib-Sez_dist x materia'!C52</f>
        <v>1203</v>
      </c>
      <c r="D13" s="155">
        <f>'Tav_1.2 Trib-Sez_dist x materia'!D48+'Tav_1.2 Trib-Sez_dist x materia'!D49+'Tav_1.2 Trib-Sez_dist x materia'!D50+'Tav_1.2 Trib-Sez_dist x materia'!D51+'Tav_1.2 Trib-Sez_dist x materia'!D52</f>
        <v>1329</v>
      </c>
      <c r="E13" s="155">
        <f>'Tav_1.2 Trib-Sez_dist x materia'!E48+'Tav_1.2 Trib-Sez_dist x materia'!E49+'Tav_1.2 Trib-Sez_dist x materia'!E50+'Tav_1.2 Trib-Sez_dist x materia'!E51+'Tav_1.2 Trib-Sez_dist x materia'!E52</f>
        <v>469</v>
      </c>
      <c r="F13" s="157">
        <f t="shared" si="1"/>
        <v>-0.21176470588235294</v>
      </c>
      <c r="G13" s="157">
        <f t="shared" si="2"/>
        <v>1.1047381546134662</v>
      </c>
      <c r="H13" s="157">
        <f t="shared" si="3"/>
        <v>0.739154616240267</v>
      </c>
      <c r="J13" s="153" t="s">
        <v>10</v>
      </c>
      <c r="K13" s="155">
        <f t="shared" si="4"/>
        <v>469</v>
      </c>
    </row>
    <row r="14" spans="1:11" ht="16.5" customHeight="1">
      <c r="A14" s="158" t="s">
        <v>17</v>
      </c>
      <c r="B14" s="154">
        <f t="shared" si="0"/>
        <v>3597</v>
      </c>
      <c r="C14" s="155">
        <f>'Tav_1.2 Trib-Sez_dist x materia'!G48+'Tav_1.2 Trib-Sez_dist x materia'!G49+'Tav_1.2 Trib-Sez_dist x materia'!G50+'Tav_1.2 Trib-Sez_dist x materia'!G51+'Tav_1.2 Trib-Sez_dist x materia'!G52</f>
        <v>350</v>
      </c>
      <c r="D14" s="155">
        <f>'Tav_1.2 Trib-Sez_dist x materia'!H48+'Tav_1.2 Trib-Sez_dist x materia'!H49+'Tav_1.2 Trib-Sez_dist x materia'!H50+'Tav_1.2 Trib-Sez_dist x materia'!H51+'Tav_1.2 Trib-Sez_dist x materia'!H52</f>
        <v>381</v>
      </c>
      <c r="E14" s="155">
        <f>'Tav_1.2 Trib-Sez_dist x materia'!I48+'Tav_1.2 Trib-Sez_dist x materia'!I49+'Tav_1.2 Trib-Sez_dist x materia'!I50+'Tav_1.2 Trib-Sez_dist x materia'!I51+'Tav_1.2 Trib-Sez_dist x materia'!I52</f>
        <v>3566</v>
      </c>
      <c r="F14" s="157">
        <f t="shared" si="1"/>
        <v>-0.008618293021962747</v>
      </c>
      <c r="G14" s="157">
        <f t="shared" si="2"/>
        <v>1.0885714285714285</v>
      </c>
      <c r="H14" s="157">
        <f t="shared" si="3"/>
        <v>0.09652900937420826</v>
      </c>
      <c r="J14" s="158" t="s">
        <v>17</v>
      </c>
      <c r="K14" s="155">
        <f t="shared" si="4"/>
        <v>3566</v>
      </c>
    </row>
    <row r="15" spans="1:11" ht="16.5" customHeight="1">
      <c r="A15" s="158" t="s">
        <v>467</v>
      </c>
      <c r="B15" s="154">
        <f t="shared" si="0"/>
        <v>0</v>
      </c>
      <c r="C15" s="155">
        <f>'Tav_1.2 Trib-Sez_dist x materia'!K48+'Tav_1.2 Trib-Sez_dist x materia'!K49+'Tav_1.2 Trib-Sez_dist x materia'!K50+'Tav_1.2 Trib-Sez_dist x materia'!K51+'Tav_1.2 Trib-Sez_dist x materia'!K52</f>
        <v>1</v>
      </c>
      <c r="D15" s="155">
        <f>'Tav_1.2 Trib-Sez_dist x materia'!L48+'Tav_1.2 Trib-Sez_dist x materia'!L49+'Tav_1.2 Trib-Sez_dist x materia'!L50+'Tav_1.2 Trib-Sez_dist x materia'!L51+'Tav_1.2 Trib-Sez_dist x materia'!L52</f>
        <v>1</v>
      </c>
      <c r="E15" s="155">
        <f>'Tav_1.2 Trib-Sez_dist x materia'!M48+'Tav_1.2 Trib-Sez_dist x materia'!M49+'Tav_1.2 Trib-Sez_dist x materia'!M50+'Tav_1.2 Trib-Sez_dist x materia'!M51+'Tav_1.2 Trib-Sez_dist x materia'!M52</f>
        <v>0</v>
      </c>
      <c r="F15" s="157" t="s">
        <v>458</v>
      </c>
      <c r="G15" s="157">
        <f t="shared" si="2"/>
        <v>1</v>
      </c>
      <c r="H15" s="157">
        <f t="shared" si="3"/>
        <v>1</v>
      </c>
      <c r="J15" s="158" t="s">
        <v>300</v>
      </c>
      <c r="K15" s="155">
        <f t="shared" si="4"/>
        <v>0</v>
      </c>
    </row>
    <row r="16" spans="1:11" ht="16.5" customHeight="1">
      <c r="A16" s="158" t="s">
        <v>244</v>
      </c>
      <c r="B16" s="154">
        <f t="shared" si="0"/>
        <v>10078</v>
      </c>
      <c r="C16" s="155">
        <f>'Tav_1.2 Trib-Sez_dist x materia'!P27</f>
        <v>26930</v>
      </c>
      <c r="D16" s="155">
        <f>'Tav_1.2 Trib-Sez_dist x materia'!R27</f>
        <v>26219</v>
      </c>
      <c r="E16" s="155">
        <f>'Tav_1.2 Trib-Sez_dist x materia'!S27</f>
        <v>10789</v>
      </c>
      <c r="F16" s="157">
        <f t="shared" si="1"/>
        <v>0.07054971224449295</v>
      </c>
      <c r="G16" s="157">
        <f t="shared" si="2"/>
        <v>0.9735982176011883</v>
      </c>
      <c r="H16" s="157">
        <f t="shared" si="3"/>
        <v>0.708468439256377</v>
      </c>
      <c r="J16" s="158" t="s">
        <v>244</v>
      </c>
      <c r="K16" s="155">
        <f t="shared" si="4"/>
        <v>10789</v>
      </c>
    </row>
    <row r="17" spans="1:11" s="162" customFormat="1" ht="16.5" customHeight="1">
      <c r="A17" s="159" t="s">
        <v>245</v>
      </c>
      <c r="B17" s="160">
        <f>E17-C17+D17</f>
        <v>122991</v>
      </c>
      <c r="C17" s="160">
        <f>SUM(C6:C16)</f>
        <v>86915</v>
      </c>
      <c r="D17" s="160">
        <f>SUM(D6:D16)</f>
        <v>78905</v>
      </c>
      <c r="E17" s="160">
        <f>SUM(E6:E16)</f>
        <v>131001</v>
      </c>
      <c r="F17" s="161">
        <f>(E17-B17)/B17</f>
        <v>0.06512671658901871</v>
      </c>
      <c r="G17" s="161">
        <f t="shared" si="2"/>
        <v>0.9078409940746707</v>
      </c>
      <c r="H17" s="161">
        <f t="shared" si="3"/>
        <v>0.3759063580840948</v>
      </c>
      <c r="J17" s="159" t="s">
        <v>245</v>
      </c>
      <c r="K17" s="160">
        <f>SUM(K6:K16)</f>
        <v>131001</v>
      </c>
    </row>
    <row r="18" spans="2:5" ht="11.25">
      <c r="B18" s="154"/>
      <c r="C18" s="154"/>
      <c r="D18" s="154"/>
      <c r="E18" s="154"/>
    </row>
    <row r="19" ht="11.25">
      <c r="E19" s="163"/>
    </row>
    <row r="21" ht="12.75"/>
  </sheetData>
  <sheetProtection/>
  <mergeCells count="1">
    <mergeCell ref="A4:H4"/>
  </mergeCells>
  <printOptions/>
  <pageMargins left="0.7" right="0.7" top="0.75" bottom="0.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tabColor rgb="FF92D050"/>
  </sheetPr>
  <dimension ref="A1:K112"/>
  <sheetViews>
    <sheetView zoomScale="90" zoomScaleNormal="90" zoomScaleSheetLayoutView="90" zoomScalePageLayoutView="0" workbookViewId="0" topLeftCell="A76">
      <selection activeCell="D56" sqref="D56"/>
    </sheetView>
  </sheetViews>
  <sheetFormatPr defaultColWidth="9.140625" defaultRowHeight="12.75"/>
  <cols>
    <col min="1" max="1" width="36.8515625" style="18" customWidth="1"/>
    <col min="2" max="2" width="13.28125" style="18" customWidth="1"/>
    <col min="3" max="10" width="11.57421875" style="18" customWidth="1"/>
    <col min="11" max="11" width="7.7109375" style="18" customWidth="1"/>
    <col min="12" max="12" width="12.57421875" style="18" customWidth="1"/>
    <col min="13" max="16384" width="9.140625" style="18" customWidth="1"/>
  </cols>
  <sheetData>
    <row r="1" spans="1:11" ht="35.25" customHeight="1">
      <c r="A1" s="799" t="s">
        <v>375</v>
      </c>
      <c r="B1" s="800"/>
      <c r="C1" s="800"/>
      <c r="D1" s="800"/>
      <c r="E1" s="800"/>
      <c r="F1" s="800"/>
      <c r="G1" s="800"/>
      <c r="H1" s="800"/>
      <c r="I1" s="800"/>
      <c r="J1" s="800"/>
      <c r="K1" s="800"/>
    </row>
    <row r="2" spans="1:11" s="40" customFormat="1" ht="12.75" customHeight="1">
      <c r="A2" s="303"/>
      <c r="B2" s="303"/>
      <c r="C2" s="303"/>
      <c r="D2" s="303"/>
      <c r="E2" s="303"/>
      <c r="F2" s="303"/>
      <c r="G2" s="303"/>
      <c r="H2" s="303"/>
      <c r="I2" s="303"/>
      <c r="J2" s="303"/>
      <c r="K2" s="303"/>
    </row>
    <row r="3" spans="1:11" s="171" customFormat="1" ht="29.25" customHeight="1">
      <c r="A3" s="397" t="s">
        <v>25</v>
      </c>
      <c r="B3" s="402">
        <v>2013</v>
      </c>
      <c r="C3" s="402">
        <v>2012</v>
      </c>
      <c r="D3" s="398">
        <v>2011</v>
      </c>
      <c r="E3" s="398">
        <v>2010</v>
      </c>
      <c r="F3" s="398">
        <v>2009</v>
      </c>
      <c r="G3" s="398">
        <v>2008</v>
      </c>
      <c r="H3" s="398">
        <v>2007</v>
      </c>
      <c r="I3" s="398">
        <v>2006</v>
      </c>
      <c r="J3" s="398" t="s">
        <v>32</v>
      </c>
      <c r="K3" s="398" t="s">
        <v>8</v>
      </c>
    </row>
    <row r="4" spans="1:11" s="17" customFormat="1" ht="27.75" customHeight="1">
      <c r="A4" s="396" t="s">
        <v>12</v>
      </c>
      <c r="B4" s="400">
        <f>_xlfn.COMPOUNDVALUE(1)</f>
        <v>39</v>
      </c>
      <c r="C4" s="400">
        <f>_xlfn.COMPOUNDVALUE(6)</f>
        <v>112</v>
      </c>
      <c r="D4" s="400">
        <f>_xlfn.COMPOUNDVALUE(7)</f>
        <v>95</v>
      </c>
      <c r="E4" s="400">
        <f>_xlfn.COMPOUNDVALUE(8)</f>
        <v>172</v>
      </c>
      <c r="F4" s="400">
        <f>_xlfn.COMPOUNDVALUE(9)</f>
        <v>286</v>
      </c>
      <c r="G4" s="400">
        <f>_xlfn.COMPOUNDVALUE(10)</f>
        <v>248</v>
      </c>
      <c r="H4" s="400">
        <f>_xlfn.COMPOUNDVALUE(11)</f>
        <v>326</v>
      </c>
      <c r="I4" s="399">
        <f>_xlfn.COMPOUNDVALUE(12)</f>
        <v>222</v>
      </c>
      <c r="J4" s="399">
        <f>_xlfn.COMPOUNDVALUE(13)</f>
        <v>178</v>
      </c>
      <c r="K4" s="461">
        <f>SUM(B4:J4)</f>
        <v>1678</v>
      </c>
    </row>
    <row r="5" spans="1:11" ht="27.75" customHeight="1">
      <c r="A5" s="396" t="s">
        <v>53</v>
      </c>
      <c r="B5" s="400">
        <f>_xlfn.COMPOUNDVALUE(2)</f>
        <v>2</v>
      </c>
      <c r="C5" s="400">
        <f>_xlfn.COMPOUNDVALUE(14)</f>
        <v>20</v>
      </c>
      <c r="D5" s="400">
        <f>_xlfn.COMPOUNDVALUE(15)</f>
        <v>28</v>
      </c>
      <c r="E5" s="400">
        <f>_xlfn.COMPOUNDVALUE(16)</f>
        <v>50</v>
      </c>
      <c r="F5" s="400">
        <f>_xlfn.COMPOUNDVALUE(17)</f>
        <v>149</v>
      </c>
      <c r="G5" s="400">
        <f>_xlfn.COMPOUNDVALUE(18)</f>
        <v>103</v>
      </c>
      <c r="H5" s="400">
        <f>_xlfn.COMPOUNDVALUE(19)</f>
        <v>91</v>
      </c>
      <c r="I5" s="399">
        <f>_xlfn.COMPOUNDVALUE(20)</f>
        <v>87</v>
      </c>
      <c r="J5" s="399">
        <f>_xlfn.COMPOUNDVALUE(21)</f>
        <v>25</v>
      </c>
      <c r="K5" s="461">
        <f>SUM(B5:J5)</f>
        <v>555</v>
      </c>
    </row>
    <row r="6" spans="1:11" ht="27.75" customHeight="1">
      <c r="A6" s="396" t="s">
        <v>9</v>
      </c>
      <c r="B6" s="400">
        <f>_xlfn.COMPOUNDVALUE(3)</f>
        <v>10</v>
      </c>
      <c r="C6" s="400">
        <f>_xlfn.COMPOUNDVALUE(22)</f>
        <v>180</v>
      </c>
      <c r="D6" s="400">
        <f>_xlfn.COMPOUNDVALUE(23)</f>
        <v>302</v>
      </c>
      <c r="E6" s="400">
        <f>_xlfn.COMPOUNDVALUE(24)</f>
        <v>158</v>
      </c>
      <c r="F6" s="400">
        <f>_xlfn.COMPOUNDVALUE(25)</f>
        <v>124</v>
      </c>
      <c r="G6" s="400">
        <f>_xlfn.COMPOUNDVALUE(26)</f>
        <v>54</v>
      </c>
      <c r="H6" s="400">
        <f>_xlfn.COMPOUNDVALUE(27)</f>
        <v>51</v>
      </c>
      <c r="I6" s="399">
        <f>_xlfn.COMPOUNDVALUE(28)</f>
        <v>24</v>
      </c>
      <c r="J6" s="399">
        <f>_xlfn.COMPOUNDVALUE(29)</f>
        <v>9</v>
      </c>
      <c r="K6" s="461">
        <f>SUM(B6:J6)</f>
        <v>912</v>
      </c>
    </row>
    <row r="7" spans="1:11" ht="27.75" customHeight="1">
      <c r="A7" s="396" t="s">
        <v>7</v>
      </c>
      <c r="B7" s="400">
        <f>_xlfn.COMPOUNDVALUE(4)</f>
        <v>1</v>
      </c>
      <c r="C7" s="400">
        <f>_xlfn.COMPOUNDVALUE(30)</f>
        <v>23</v>
      </c>
      <c r="D7" s="400">
        <f>_xlfn.COMPOUNDVALUE(31)</f>
        <v>34</v>
      </c>
      <c r="E7" s="400">
        <f>_xlfn.COMPOUNDVALUE(32)</f>
        <v>19</v>
      </c>
      <c r="F7" s="400">
        <f>_xlfn.COMPOUNDVALUE(33)</f>
        <v>17</v>
      </c>
      <c r="G7" s="400">
        <f>_xlfn.COMPOUNDVALUE(34)</f>
        <v>5</v>
      </c>
      <c r="H7" s="400">
        <f>_xlfn.COMPOUNDVALUE(35)</f>
        <v>1</v>
      </c>
      <c r="I7" s="401">
        <f>_xlfn.COMPOUNDVALUE(36)</f>
        <v>0</v>
      </c>
      <c r="J7" s="401">
        <f>_xlfn.COMPOUNDVALUE(37)</f>
        <v>0</v>
      </c>
      <c r="K7" s="461">
        <f>SUM(B7:J7)</f>
        <v>100</v>
      </c>
    </row>
    <row r="8" spans="1:11" ht="27.75" customHeight="1">
      <c r="A8" s="396" t="s">
        <v>11</v>
      </c>
      <c r="B8" s="400">
        <f>_xlfn.COMPOUNDVALUE(5)</f>
        <v>30</v>
      </c>
      <c r="C8" s="400">
        <f>_xlfn.COMPOUNDVALUE(38)</f>
        <v>37</v>
      </c>
      <c r="D8" s="400">
        <f>_xlfn.COMPOUNDVALUE(39)</f>
        <v>38</v>
      </c>
      <c r="E8" s="400">
        <f>_xlfn.COMPOUNDVALUE(40)</f>
        <v>106</v>
      </c>
      <c r="F8" s="400">
        <f>_xlfn.COMPOUNDVALUE(41)</f>
        <v>20</v>
      </c>
      <c r="G8" s="400">
        <f>_xlfn.COMPOUNDVALUE(42)</f>
        <v>16</v>
      </c>
      <c r="H8" s="400">
        <f>_xlfn.COMPOUNDVALUE(43)</f>
        <v>7</v>
      </c>
      <c r="I8" s="401">
        <f>_xlfn.COMPOUNDVALUE(44)</f>
        <v>9</v>
      </c>
      <c r="J8" s="401">
        <f>_xlfn.COMPOUNDVALUE(45)</f>
        <v>8</v>
      </c>
      <c r="K8" s="461">
        <f>SUM(B8:J8)</f>
        <v>271</v>
      </c>
    </row>
    <row r="9" spans="1:11" ht="27.75" customHeight="1">
      <c r="A9" s="20" t="s">
        <v>8</v>
      </c>
      <c r="B9" s="395">
        <f aca="true" t="shared" si="0" ref="B9:K9">SUM(B4:B8)</f>
        <v>82</v>
      </c>
      <c r="C9" s="395">
        <f t="shared" si="0"/>
        <v>372</v>
      </c>
      <c r="D9" s="395">
        <f t="shared" si="0"/>
        <v>497</v>
      </c>
      <c r="E9" s="395">
        <f t="shared" si="0"/>
        <v>505</v>
      </c>
      <c r="F9" s="395">
        <f t="shared" si="0"/>
        <v>596</v>
      </c>
      <c r="G9" s="395">
        <f t="shared" si="0"/>
        <v>426</v>
      </c>
      <c r="H9" s="395">
        <f t="shared" si="0"/>
        <v>476</v>
      </c>
      <c r="I9" s="395">
        <f t="shared" si="0"/>
        <v>342</v>
      </c>
      <c r="J9" s="395">
        <f t="shared" si="0"/>
        <v>220</v>
      </c>
      <c r="K9" s="395">
        <f t="shared" si="0"/>
        <v>3516</v>
      </c>
    </row>
    <row r="12" spans="1:11" ht="31.5" customHeight="1">
      <c r="A12" s="799" t="s">
        <v>376</v>
      </c>
      <c r="B12" s="800"/>
      <c r="C12" s="800"/>
      <c r="D12" s="800"/>
      <c r="E12" s="800"/>
      <c r="F12" s="800"/>
      <c r="G12" s="800"/>
      <c r="H12" s="800"/>
      <c r="I12" s="800"/>
      <c r="J12" s="800"/>
      <c r="K12" s="800"/>
    </row>
    <row r="13" spans="1:11" s="171" customFormat="1" ht="29.25" customHeight="1">
      <c r="A13" s="397" t="s">
        <v>33</v>
      </c>
      <c r="B13" s="403" t="s">
        <v>34</v>
      </c>
      <c r="C13" s="402">
        <v>2013</v>
      </c>
      <c r="D13" s="402">
        <v>2012</v>
      </c>
      <c r="E13" s="398">
        <v>2011</v>
      </c>
      <c r="F13" s="398">
        <v>2010</v>
      </c>
      <c r="G13" s="398">
        <v>2009</v>
      </c>
      <c r="H13" s="398">
        <v>2008</v>
      </c>
      <c r="I13" s="398">
        <v>2007</v>
      </c>
      <c r="J13" s="398" t="s">
        <v>32</v>
      </c>
      <c r="K13" s="398" t="s">
        <v>8</v>
      </c>
    </row>
    <row r="14" spans="1:11" ht="12" customHeight="1">
      <c r="A14" s="803" t="s">
        <v>303</v>
      </c>
      <c r="B14" s="409" t="s">
        <v>35</v>
      </c>
      <c r="C14" s="404">
        <v>54</v>
      </c>
      <c r="D14" s="404">
        <v>22</v>
      </c>
      <c r="E14" s="404">
        <v>5</v>
      </c>
      <c r="F14" s="404">
        <v>7</v>
      </c>
      <c r="G14" s="405">
        <v>15</v>
      </c>
      <c r="H14" s="405">
        <v>14</v>
      </c>
      <c r="I14" s="404">
        <v>8</v>
      </c>
      <c r="J14" s="404">
        <v>8</v>
      </c>
      <c r="K14" s="408">
        <f>SUM(C14:J14)</f>
        <v>133</v>
      </c>
    </row>
    <row r="15" spans="1:11" ht="12" customHeight="1">
      <c r="A15" s="804"/>
      <c r="B15" s="409" t="s">
        <v>36</v>
      </c>
      <c r="C15" s="404">
        <v>17</v>
      </c>
      <c r="D15" s="404">
        <v>50</v>
      </c>
      <c r="E15" s="404">
        <v>258</v>
      </c>
      <c r="F15" s="404">
        <v>207</v>
      </c>
      <c r="G15" s="404">
        <v>153</v>
      </c>
      <c r="H15" s="404">
        <v>96</v>
      </c>
      <c r="I15" s="404">
        <v>40</v>
      </c>
      <c r="J15" s="404">
        <v>64</v>
      </c>
      <c r="K15" s="408">
        <v>885</v>
      </c>
    </row>
    <row r="16" spans="1:11" ht="12" customHeight="1" thickBot="1">
      <c r="A16" s="415" t="s">
        <v>304</v>
      </c>
      <c r="B16" s="415" t="s">
        <v>36</v>
      </c>
      <c r="C16" s="416">
        <v>2</v>
      </c>
      <c r="D16" s="416">
        <v>25</v>
      </c>
      <c r="E16" s="416">
        <v>22</v>
      </c>
      <c r="F16" s="416">
        <v>12</v>
      </c>
      <c r="G16" s="416">
        <v>12</v>
      </c>
      <c r="H16" s="416">
        <v>26</v>
      </c>
      <c r="I16" s="416">
        <v>22</v>
      </c>
      <c r="J16" s="416">
        <v>81</v>
      </c>
      <c r="K16" s="417">
        <f>SUM(C16:J16)</f>
        <v>202</v>
      </c>
    </row>
    <row r="17" spans="1:11" ht="12" customHeight="1" thickBot="1" thickTop="1">
      <c r="A17" s="414" t="s">
        <v>305</v>
      </c>
      <c r="B17" s="414" t="s">
        <v>36</v>
      </c>
      <c r="C17" s="414">
        <f>SUM(C15:C16)</f>
        <v>19</v>
      </c>
      <c r="D17" s="414">
        <f aca="true" t="shared" si="1" ref="D17:J17">SUM(D15:D16)</f>
        <v>75</v>
      </c>
      <c r="E17" s="414">
        <f t="shared" si="1"/>
        <v>280</v>
      </c>
      <c r="F17" s="414">
        <f t="shared" si="1"/>
        <v>219</v>
      </c>
      <c r="G17" s="414">
        <f t="shared" si="1"/>
        <v>165</v>
      </c>
      <c r="H17" s="414">
        <f t="shared" si="1"/>
        <v>122</v>
      </c>
      <c r="I17" s="414">
        <f t="shared" si="1"/>
        <v>62</v>
      </c>
      <c r="J17" s="414">
        <f t="shared" si="1"/>
        <v>145</v>
      </c>
      <c r="K17" s="414">
        <f>SUM(K15:K16)</f>
        <v>1087</v>
      </c>
    </row>
    <row r="18" spans="1:11" ht="12" customHeight="1" thickTop="1">
      <c r="A18" s="806" t="s">
        <v>306</v>
      </c>
      <c r="B18" s="409" t="s">
        <v>35</v>
      </c>
      <c r="C18" s="404">
        <v>397</v>
      </c>
      <c r="D18" s="404">
        <v>513</v>
      </c>
      <c r="E18" s="404">
        <v>256</v>
      </c>
      <c r="F18" s="404">
        <v>298</v>
      </c>
      <c r="G18" s="404">
        <v>185</v>
      </c>
      <c r="H18" s="404">
        <v>64</v>
      </c>
      <c r="I18" s="404">
        <v>19</v>
      </c>
      <c r="J18" s="404">
        <v>27</v>
      </c>
      <c r="K18" s="408">
        <v>1759</v>
      </c>
    </row>
    <row r="19" spans="1:11" ht="12" customHeight="1">
      <c r="A19" s="807"/>
      <c r="B19" s="409" t="s">
        <v>36</v>
      </c>
      <c r="C19" s="404">
        <v>165</v>
      </c>
      <c r="D19" s="404">
        <v>446</v>
      </c>
      <c r="E19" s="404">
        <v>1677</v>
      </c>
      <c r="F19" s="404">
        <v>1207</v>
      </c>
      <c r="G19" s="404">
        <v>984</v>
      </c>
      <c r="H19" s="404">
        <v>886</v>
      </c>
      <c r="I19" s="404">
        <v>565</v>
      </c>
      <c r="J19" s="404">
        <v>623</v>
      </c>
      <c r="K19" s="408">
        <v>6553</v>
      </c>
    </row>
    <row r="20" spans="1:11" ht="12" customHeight="1">
      <c r="A20" s="411" t="s">
        <v>307</v>
      </c>
      <c r="B20" s="409" t="s">
        <v>36</v>
      </c>
      <c r="C20" s="404">
        <v>4</v>
      </c>
      <c r="D20" s="404">
        <v>35</v>
      </c>
      <c r="E20" s="404">
        <v>52</v>
      </c>
      <c r="F20" s="404">
        <v>54</v>
      </c>
      <c r="G20" s="404">
        <v>24</v>
      </c>
      <c r="H20" s="404">
        <v>12</v>
      </c>
      <c r="I20" s="404">
        <v>23</v>
      </c>
      <c r="J20" s="404">
        <v>34</v>
      </c>
      <c r="K20" s="408">
        <f>SUM(C20:J20)</f>
        <v>238</v>
      </c>
    </row>
    <row r="21" spans="1:11" ht="12" customHeight="1">
      <c r="A21" s="410" t="s">
        <v>308</v>
      </c>
      <c r="B21" s="409" t="s">
        <v>36</v>
      </c>
      <c r="C21" s="404">
        <v>0</v>
      </c>
      <c r="D21" s="404">
        <v>2</v>
      </c>
      <c r="E21" s="404">
        <v>1</v>
      </c>
      <c r="F21" s="404">
        <v>8</v>
      </c>
      <c r="G21" s="404">
        <v>9</v>
      </c>
      <c r="H21" s="404">
        <v>6</v>
      </c>
      <c r="I21" s="404">
        <v>9</v>
      </c>
      <c r="J21" s="404">
        <v>2</v>
      </c>
      <c r="K21" s="408">
        <f aca="true" t="shared" si="2" ref="K21:K26">SUM(C21:J21)</f>
        <v>37</v>
      </c>
    </row>
    <row r="22" spans="1:11" ht="12" customHeight="1">
      <c r="A22" s="410" t="s">
        <v>309</v>
      </c>
      <c r="B22" s="409" t="s">
        <v>36</v>
      </c>
      <c r="C22" s="404">
        <v>0</v>
      </c>
      <c r="D22" s="404">
        <v>25</v>
      </c>
      <c r="E22" s="404">
        <v>8</v>
      </c>
      <c r="F22" s="404">
        <v>4</v>
      </c>
      <c r="G22" s="404">
        <v>1</v>
      </c>
      <c r="H22" s="404">
        <v>1</v>
      </c>
      <c r="I22" s="404">
        <v>1</v>
      </c>
      <c r="J22" s="404">
        <v>0</v>
      </c>
      <c r="K22" s="408">
        <f t="shared" si="2"/>
        <v>40</v>
      </c>
    </row>
    <row r="23" spans="1:11" ht="12" customHeight="1">
      <c r="A23" s="410" t="s">
        <v>310</v>
      </c>
      <c r="B23" s="409" t="s">
        <v>36</v>
      </c>
      <c r="C23" s="404">
        <v>0</v>
      </c>
      <c r="D23" s="404">
        <v>10</v>
      </c>
      <c r="E23" s="404">
        <v>21</v>
      </c>
      <c r="F23" s="404">
        <v>17</v>
      </c>
      <c r="G23" s="404">
        <v>10</v>
      </c>
      <c r="H23" s="404">
        <v>1</v>
      </c>
      <c r="I23" s="404">
        <v>1</v>
      </c>
      <c r="J23" s="404">
        <v>0</v>
      </c>
      <c r="K23" s="408">
        <f t="shared" si="2"/>
        <v>60</v>
      </c>
    </row>
    <row r="24" spans="1:11" ht="12" customHeight="1">
      <c r="A24" s="410" t="s">
        <v>311</v>
      </c>
      <c r="B24" s="409" t="s">
        <v>36</v>
      </c>
      <c r="C24" s="404">
        <v>0</v>
      </c>
      <c r="D24" s="404">
        <v>7</v>
      </c>
      <c r="E24" s="404">
        <v>15</v>
      </c>
      <c r="F24" s="404">
        <v>19</v>
      </c>
      <c r="G24" s="404">
        <v>19</v>
      </c>
      <c r="H24" s="404">
        <v>28</v>
      </c>
      <c r="I24" s="404">
        <v>17</v>
      </c>
      <c r="J24" s="404">
        <v>57</v>
      </c>
      <c r="K24" s="408">
        <f t="shared" si="2"/>
        <v>162</v>
      </c>
    </row>
    <row r="25" spans="1:11" ht="12" customHeight="1">
      <c r="A25" s="411" t="s">
        <v>312</v>
      </c>
      <c r="B25" s="409" t="s">
        <v>36</v>
      </c>
      <c r="C25" s="404">
        <v>2</v>
      </c>
      <c r="D25" s="404">
        <v>6</v>
      </c>
      <c r="E25" s="404">
        <v>7</v>
      </c>
      <c r="F25" s="404">
        <v>5</v>
      </c>
      <c r="G25" s="404">
        <v>9</v>
      </c>
      <c r="H25" s="404">
        <v>5</v>
      </c>
      <c r="I25" s="404">
        <v>3</v>
      </c>
      <c r="J25" s="404">
        <v>7</v>
      </c>
      <c r="K25" s="408">
        <f t="shared" si="2"/>
        <v>44</v>
      </c>
    </row>
    <row r="26" spans="1:11" ht="12" customHeight="1">
      <c r="A26" s="410" t="s">
        <v>313</v>
      </c>
      <c r="B26" s="423" t="s">
        <v>36</v>
      </c>
      <c r="C26" s="424">
        <v>1</v>
      </c>
      <c r="D26" s="424">
        <v>36</v>
      </c>
      <c r="E26" s="424">
        <v>11</v>
      </c>
      <c r="F26" s="424">
        <v>7</v>
      </c>
      <c r="G26" s="424">
        <v>6</v>
      </c>
      <c r="H26" s="424">
        <v>10</v>
      </c>
      <c r="I26" s="424">
        <v>10</v>
      </c>
      <c r="J26" s="424">
        <v>6</v>
      </c>
      <c r="K26" s="408">
        <f t="shared" si="2"/>
        <v>87</v>
      </c>
    </row>
    <row r="27" spans="1:11" ht="12" customHeight="1" thickBot="1">
      <c r="A27" s="413" t="s">
        <v>167</v>
      </c>
      <c r="B27" s="425" t="s">
        <v>36</v>
      </c>
      <c r="C27" s="426">
        <f>SUM(C19:C26)</f>
        <v>172</v>
      </c>
      <c r="D27" s="426">
        <f aca="true" t="shared" si="3" ref="D27:J27">SUM(D19:D26)</f>
        <v>567</v>
      </c>
      <c r="E27" s="426">
        <f t="shared" si="3"/>
        <v>1792</v>
      </c>
      <c r="F27" s="426">
        <f t="shared" si="3"/>
        <v>1321</v>
      </c>
      <c r="G27" s="426">
        <f t="shared" si="3"/>
        <v>1062</v>
      </c>
      <c r="H27" s="426">
        <f t="shared" si="3"/>
        <v>949</v>
      </c>
      <c r="I27" s="426">
        <f t="shared" si="3"/>
        <v>629</v>
      </c>
      <c r="J27" s="426">
        <f t="shared" si="3"/>
        <v>729</v>
      </c>
      <c r="K27" s="426">
        <f>SUM(K19:K26)</f>
        <v>7221</v>
      </c>
    </row>
    <row r="28" spans="1:11" ht="12" customHeight="1" thickTop="1">
      <c r="A28" s="808" t="s">
        <v>473</v>
      </c>
      <c r="B28" s="418" t="s">
        <v>35</v>
      </c>
      <c r="C28" s="419">
        <v>46</v>
      </c>
      <c r="D28" s="419">
        <v>49</v>
      </c>
      <c r="E28" s="419">
        <v>25</v>
      </c>
      <c r="F28" s="419">
        <v>15</v>
      </c>
      <c r="G28" s="419">
        <v>6</v>
      </c>
      <c r="H28" s="419">
        <v>6</v>
      </c>
      <c r="I28" s="419">
        <v>0</v>
      </c>
      <c r="J28" s="419">
        <v>2</v>
      </c>
      <c r="K28" s="420">
        <v>149</v>
      </c>
    </row>
    <row r="29" spans="1:11" ht="12" customHeight="1" thickBot="1">
      <c r="A29" s="809"/>
      <c r="B29" s="415" t="s">
        <v>36</v>
      </c>
      <c r="C29" s="416">
        <v>4</v>
      </c>
      <c r="D29" s="416">
        <v>28</v>
      </c>
      <c r="E29" s="416">
        <v>103</v>
      </c>
      <c r="F29" s="416">
        <v>84</v>
      </c>
      <c r="G29" s="416">
        <v>81</v>
      </c>
      <c r="H29" s="416">
        <v>51</v>
      </c>
      <c r="I29" s="416">
        <v>46</v>
      </c>
      <c r="J29" s="422">
        <v>136</v>
      </c>
      <c r="K29" s="417">
        <v>533</v>
      </c>
    </row>
    <row r="30" spans="1:11" ht="12" customHeight="1" thickTop="1">
      <c r="A30" s="803" t="s">
        <v>314</v>
      </c>
      <c r="B30" s="409" t="s">
        <v>35</v>
      </c>
      <c r="C30" s="404">
        <v>98</v>
      </c>
      <c r="D30" s="404">
        <v>73</v>
      </c>
      <c r="E30" s="404">
        <v>32</v>
      </c>
      <c r="F30" s="404">
        <v>33</v>
      </c>
      <c r="G30" s="404">
        <v>13</v>
      </c>
      <c r="H30" s="404">
        <v>5</v>
      </c>
      <c r="I30" s="404">
        <v>5</v>
      </c>
      <c r="J30" s="404">
        <v>5</v>
      </c>
      <c r="K30" s="408">
        <v>264</v>
      </c>
    </row>
    <row r="31" spans="1:11" ht="12" customHeight="1">
      <c r="A31" s="804"/>
      <c r="B31" s="409" t="s">
        <v>36</v>
      </c>
      <c r="C31" s="404">
        <v>20</v>
      </c>
      <c r="D31" s="404">
        <v>118</v>
      </c>
      <c r="E31" s="404">
        <v>414</v>
      </c>
      <c r="F31" s="404">
        <v>439</v>
      </c>
      <c r="G31" s="404">
        <v>256</v>
      </c>
      <c r="H31" s="404">
        <v>195</v>
      </c>
      <c r="I31" s="404">
        <v>138</v>
      </c>
      <c r="J31" s="404">
        <v>71</v>
      </c>
      <c r="K31" s="408">
        <v>1651</v>
      </c>
    </row>
    <row r="32" spans="1:11" ht="12" customHeight="1" thickBot="1">
      <c r="A32" s="427" t="s">
        <v>315</v>
      </c>
      <c r="B32" s="415" t="s">
        <v>36</v>
      </c>
      <c r="C32" s="406">
        <v>6</v>
      </c>
      <c r="D32" s="406">
        <v>11</v>
      </c>
      <c r="E32" s="406">
        <v>9</v>
      </c>
      <c r="F32" s="406">
        <v>6</v>
      </c>
      <c r="G32" s="406">
        <v>8</v>
      </c>
      <c r="H32" s="406">
        <v>7</v>
      </c>
      <c r="I32" s="406">
        <v>5</v>
      </c>
      <c r="J32" s="406">
        <v>35</v>
      </c>
      <c r="K32" s="417">
        <v>87</v>
      </c>
    </row>
    <row r="33" spans="1:11" ht="12" customHeight="1" thickBot="1" thickTop="1">
      <c r="A33" s="414" t="s">
        <v>184</v>
      </c>
      <c r="B33" s="414" t="s">
        <v>36</v>
      </c>
      <c r="C33" s="414">
        <f>SUM(C31:C32)</f>
        <v>26</v>
      </c>
      <c r="D33" s="414">
        <f aca="true" t="shared" si="4" ref="D33:J33">SUM(D31:D32)</f>
        <v>129</v>
      </c>
      <c r="E33" s="414">
        <f t="shared" si="4"/>
        <v>423</v>
      </c>
      <c r="F33" s="414">
        <f t="shared" si="4"/>
        <v>445</v>
      </c>
      <c r="G33" s="414">
        <f t="shared" si="4"/>
        <v>264</v>
      </c>
      <c r="H33" s="414">
        <f t="shared" si="4"/>
        <v>202</v>
      </c>
      <c r="I33" s="414">
        <f t="shared" si="4"/>
        <v>143</v>
      </c>
      <c r="J33" s="414">
        <f t="shared" si="4"/>
        <v>106</v>
      </c>
      <c r="K33" s="417">
        <f>SUM(C33:J33)</f>
        <v>1738</v>
      </c>
    </row>
    <row r="34" spans="1:11" ht="12" customHeight="1" thickTop="1">
      <c r="A34" s="805" t="s">
        <v>316</v>
      </c>
      <c r="B34" s="409" t="s">
        <v>35</v>
      </c>
      <c r="C34" s="407">
        <v>213</v>
      </c>
      <c r="D34" s="407">
        <v>199</v>
      </c>
      <c r="E34" s="407">
        <v>78</v>
      </c>
      <c r="F34" s="407">
        <v>69</v>
      </c>
      <c r="G34" s="407">
        <v>66</v>
      </c>
      <c r="H34" s="407">
        <v>47</v>
      </c>
      <c r="I34" s="407">
        <v>40</v>
      </c>
      <c r="J34" s="407">
        <v>105</v>
      </c>
      <c r="K34" s="408">
        <v>817</v>
      </c>
    </row>
    <row r="35" spans="1:11" s="17" customFormat="1" ht="12" customHeight="1">
      <c r="A35" s="805"/>
      <c r="B35" s="409" t="s">
        <v>36</v>
      </c>
      <c r="C35" s="407">
        <v>76</v>
      </c>
      <c r="D35" s="407">
        <v>217</v>
      </c>
      <c r="E35" s="407">
        <v>696</v>
      </c>
      <c r="F35" s="407">
        <v>410</v>
      </c>
      <c r="G35" s="407">
        <v>313</v>
      </c>
      <c r="H35" s="407">
        <v>201</v>
      </c>
      <c r="I35" s="407">
        <v>116</v>
      </c>
      <c r="J35" s="407">
        <v>364</v>
      </c>
      <c r="K35" s="408">
        <v>2393</v>
      </c>
    </row>
    <row r="36" spans="1:11" ht="15" customHeight="1">
      <c r="A36" s="412" t="s">
        <v>317</v>
      </c>
      <c r="B36" s="409" t="s">
        <v>36</v>
      </c>
      <c r="C36" s="407">
        <v>2</v>
      </c>
      <c r="D36" s="407">
        <v>12</v>
      </c>
      <c r="E36" s="407">
        <v>11</v>
      </c>
      <c r="F36" s="407">
        <v>9</v>
      </c>
      <c r="G36" s="407">
        <v>11</v>
      </c>
      <c r="H36" s="407">
        <v>14</v>
      </c>
      <c r="I36" s="407">
        <v>13</v>
      </c>
      <c r="J36" s="407">
        <v>32</v>
      </c>
      <c r="K36" s="408">
        <f>SUM(C36:J36)</f>
        <v>104</v>
      </c>
    </row>
    <row r="37" spans="1:11" ht="15" customHeight="1">
      <c r="A37" s="412" t="s">
        <v>318</v>
      </c>
      <c r="B37" s="409" t="s">
        <v>36</v>
      </c>
      <c r="C37" s="407">
        <v>7</v>
      </c>
      <c r="D37" s="407">
        <v>28</v>
      </c>
      <c r="E37" s="407">
        <v>55</v>
      </c>
      <c r="F37" s="407">
        <v>36</v>
      </c>
      <c r="G37" s="407">
        <v>41</v>
      </c>
      <c r="H37" s="407">
        <v>37</v>
      </c>
      <c r="I37" s="407">
        <v>17</v>
      </c>
      <c r="J37" s="407">
        <v>60</v>
      </c>
      <c r="K37" s="408">
        <f>SUM(C37:J37)</f>
        <v>281</v>
      </c>
    </row>
    <row r="38" spans="1:11" ht="15" customHeight="1" thickBot="1">
      <c r="A38" s="421" t="s">
        <v>319</v>
      </c>
      <c r="B38" s="415" t="s">
        <v>36</v>
      </c>
      <c r="C38" s="406">
        <v>10</v>
      </c>
      <c r="D38" s="406">
        <v>11</v>
      </c>
      <c r="E38" s="406">
        <v>10</v>
      </c>
      <c r="F38" s="406">
        <v>19</v>
      </c>
      <c r="G38" s="406">
        <v>18</v>
      </c>
      <c r="H38" s="406">
        <v>4</v>
      </c>
      <c r="I38" s="406">
        <v>6</v>
      </c>
      <c r="J38" s="406">
        <v>25</v>
      </c>
      <c r="K38" s="408">
        <f>SUM(C38:J38)</f>
        <v>103</v>
      </c>
    </row>
    <row r="39" spans="1:11" ht="15" customHeight="1" thickBot="1" thickTop="1">
      <c r="A39" s="414" t="s">
        <v>189</v>
      </c>
      <c r="B39" s="414" t="s">
        <v>36</v>
      </c>
      <c r="C39" s="414">
        <f>SUM(C35:C38)</f>
        <v>95</v>
      </c>
      <c r="D39" s="414">
        <f aca="true" t="shared" si="5" ref="D39:J39">SUM(D35:D38)</f>
        <v>268</v>
      </c>
      <c r="E39" s="414">
        <f t="shared" si="5"/>
        <v>772</v>
      </c>
      <c r="F39" s="414">
        <f t="shared" si="5"/>
        <v>474</v>
      </c>
      <c r="G39" s="414">
        <f t="shared" si="5"/>
        <v>383</v>
      </c>
      <c r="H39" s="414">
        <f t="shared" si="5"/>
        <v>256</v>
      </c>
      <c r="I39" s="414">
        <f t="shared" si="5"/>
        <v>152</v>
      </c>
      <c r="J39" s="414">
        <f t="shared" si="5"/>
        <v>481</v>
      </c>
      <c r="K39" s="414">
        <f>SUM(K35:K38)</f>
        <v>2881</v>
      </c>
    </row>
    <row r="40" spans="1:11" ht="35.25" customHeight="1" thickTop="1">
      <c r="A40" s="799" t="s">
        <v>388</v>
      </c>
      <c r="B40" s="800"/>
      <c r="C40" s="800"/>
      <c r="D40" s="800"/>
      <c r="E40" s="800"/>
      <c r="F40" s="800"/>
      <c r="G40" s="800"/>
      <c r="H40" s="800"/>
      <c r="I40" s="800"/>
      <c r="J40" s="800"/>
      <c r="K40" s="800"/>
    </row>
    <row r="41" spans="1:11" ht="12.75" customHeight="1">
      <c r="A41" s="303"/>
      <c r="B41" s="303"/>
      <c r="C41" s="303"/>
      <c r="D41" s="303"/>
      <c r="E41" s="303"/>
      <c r="F41" s="303"/>
      <c r="G41" s="303"/>
      <c r="H41" s="303"/>
      <c r="I41" s="303"/>
      <c r="J41" s="303"/>
      <c r="K41" s="303"/>
    </row>
    <row r="42" spans="1:11" s="171" customFormat="1" ht="29.25" customHeight="1">
      <c r="A42" s="304" t="s">
        <v>33</v>
      </c>
      <c r="B42" s="304" t="s">
        <v>34</v>
      </c>
      <c r="C42" s="402">
        <v>2013</v>
      </c>
      <c r="D42" s="402">
        <v>2012</v>
      </c>
      <c r="E42" s="398">
        <v>2011</v>
      </c>
      <c r="F42" s="398">
        <v>2010</v>
      </c>
      <c r="G42" s="398">
        <v>2009</v>
      </c>
      <c r="H42" s="398">
        <v>2008</v>
      </c>
      <c r="I42" s="398">
        <v>2007</v>
      </c>
      <c r="J42" s="398" t="s">
        <v>32</v>
      </c>
      <c r="K42" s="304" t="s">
        <v>8</v>
      </c>
    </row>
    <row r="43" spans="1:11" ht="11.25" customHeight="1">
      <c r="A43" s="812" t="s">
        <v>215</v>
      </c>
      <c r="B43" s="29" t="s">
        <v>35</v>
      </c>
      <c r="C43" s="214">
        <v>54</v>
      </c>
      <c r="D43" s="214">
        <v>22</v>
      </c>
      <c r="E43" s="214">
        <v>5</v>
      </c>
      <c r="F43" s="214">
        <v>7</v>
      </c>
      <c r="G43" s="214">
        <v>15</v>
      </c>
      <c r="H43" s="214">
        <v>14</v>
      </c>
      <c r="I43" s="214">
        <v>8</v>
      </c>
      <c r="J43" s="214">
        <v>8</v>
      </c>
      <c r="K43" s="215">
        <f>SUM(C43:J43)</f>
        <v>133</v>
      </c>
    </row>
    <row r="44" spans="1:11" ht="11.25" customHeight="1">
      <c r="A44" s="811"/>
      <c r="B44" s="29" t="s">
        <v>36</v>
      </c>
      <c r="C44" s="214">
        <v>19</v>
      </c>
      <c r="D44" s="214">
        <v>75</v>
      </c>
      <c r="E44" s="214">
        <v>280</v>
      </c>
      <c r="F44" s="214">
        <v>219</v>
      </c>
      <c r="G44" s="214">
        <v>165</v>
      </c>
      <c r="H44" s="214">
        <v>122</v>
      </c>
      <c r="I44" s="214">
        <v>62</v>
      </c>
      <c r="J44" s="214">
        <v>145</v>
      </c>
      <c r="K44" s="41">
        <v>1087</v>
      </c>
    </row>
    <row r="45" spans="1:11" ht="11.25" customHeight="1">
      <c r="A45" s="801" t="s">
        <v>216</v>
      </c>
      <c r="B45" s="29" t="s">
        <v>35</v>
      </c>
      <c r="C45" s="214">
        <v>397</v>
      </c>
      <c r="D45" s="214">
        <v>513</v>
      </c>
      <c r="E45" s="214">
        <v>256</v>
      </c>
      <c r="F45" s="214">
        <v>298</v>
      </c>
      <c r="G45" s="214">
        <v>185</v>
      </c>
      <c r="H45" s="214">
        <v>64</v>
      </c>
      <c r="I45" s="214">
        <v>19</v>
      </c>
      <c r="J45" s="214">
        <v>27</v>
      </c>
      <c r="K45" s="41">
        <f aca="true" t="shared" si="6" ref="K45:K51">SUM(C45:J45)</f>
        <v>1759</v>
      </c>
    </row>
    <row r="46" spans="1:11" ht="11.25" customHeight="1">
      <c r="A46" s="802"/>
      <c r="B46" s="29" t="s">
        <v>36</v>
      </c>
      <c r="C46" s="214">
        <v>172</v>
      </c>
      <c r="D46" s="214">
        <v>567</v>
      </c>
      <c r="E46" s="214">
        <v>1792</v>
      </c>
      <c r="F46" s="214">
        <v>1321</v>
      </c>
      <c r="G46" s="214">
        <v>1062</v>
      </c>
      <c r="H46" s="214">
        <v>949</v>
      </c>
      <c r="I46" s="214">
        <v>629</v>
      </c>
      <c r="J46" s="214">
        <v>729</v>
      </c>
      <c r="K46" s="41">
        <v>7221</v>
      </c>
    </row>
    <row r="47" spans="1:11" ht="11.25" customHeight="1">
      <c r="A47" s="810" t="s">
        <v>474</v>
      </c>
      <c r="B47" s="29" t="s">
        <v>35</v>
      </c>
      <c r="C47" s="214">
        <v>46</v>
      </c>
      <c r="D47" s="214">
        <v>49</v>
      </c>
      <c r="E47" s="214">
        <v>25</v>
      </c>
      <c r="F47" s="214">
        <v>15</v>
      </c>
      <c r="G47" s="214">
        <v>6</v>
      </c>
      <c r="H47" s="214">
        <v>6</v>
      </c>
      <c r="I47" s="214">
        <v>0</v>
      </c>
      <c r="J47" s="214">
        <v>2</v>
      </c>
      <c r="K47" s="462">
        <f>K28</f>
        <v>149</v>
      </c>
    </row>
    <row r="48" spans="1:11" ht="11.25" customHeight="1">
      <c r="A48" s="811"/>
      <c r="B48" s="29" t="s">
        <v>36</v>
      </c>
      <c r="C48" s="214">
        <v>4</v>
      </c>
      <c r="D48" s="214">
        <v>28</v>
      </c>
      <c r="E48" s="214">
        <v>103</v>
      </c>
      <c r="F48" s="214">
        <v>84</v>
      </c>
      <c r="G48" s="214">
        <v>81</v>
      </c>
      <c r="H48" s="214">
        <v>51</v>
      </c>
      <c r="I48" s="214">
        <v>46</v>
      </c>
      <c r="J48" s="214">
        <v>136</v>
      </c>
      <c r="K48" s="462">
        <f>K29</f>
        <v>533</v>
      </c>
    </row>
    <row r="49" spans="1:11" ht="11.25" customHeight="1">
      <c r="A49" s="812" t="s">
        <v>217</v>
      </c>
      <c r="B49" s="29" t="s">
        <v>35</v>
      </c>
      <c r="C49" s="214">
        <v>98</v>
      </c>
      <c r="D49" s="214">
        <v>73</v>
      </c>
      <c r="E49" s="214">
        <v>32</v>
      </c>
      <c r="F49" s="214">
        <v>33</v>
      </c>
      <c r="G49" s="214">
        <v>13</v>
      </c>
      <c r="H49" s="214">
        <v>5</v>
      </c>
      <c r="I49" s="214">
        <v>5</v>
      </c>
      <c r="J49" s="214">
        <f>J30</f>
        <v>5</v>
      </c>
      <c r="K49" s="41">
        <f t="shared" si="6"/>
        <v>264</v>
      </c>
    </row>
    <row r="50" spans="1:11" ht="11.25" customHeight="1">
      <c r="A50" s="811"/>
      <c r="B50" s="29" t="s">
        <v>36</v>
      </c>
      <c r="C50" s="214">
        <v>26</v>
      </c>
      <c r="D50" s="214">
        <v>129</v>
      </c>
      <c r="E50" s="214">
        <v>423</v>
      </c>
      <c r="F50" s="214">
        <v>445</v>
      </c>
      <c r="G50" s="214">
        <v>264</v>
      </c>
      <c r="H50" s="214">
        <v>202</v>
      </c>
      <c r="I50" s="214">
        <v>143</v>
      </c>
      <c r="J50" s="214">
        <v>106</v>
      </c>
      <c r="K50" s="41">
        <v>1738</v>
      </c>
    </row>
    <row r="51" spans="1:11" ht="11.25" customHeight="1">
      <c r="A51" s="801" t="s">
        <v>218</v>
      </c>
      <c r="B51" s="29" t="s">
        <v>35</v>
      </c>
      <c r="C51" s="214">
        <f>C34</f>
        <v>213</v>
      </c>
      <c r="D51" s="214">
        <f aca="true" t="shared" si="7" ref="D51:J51">D34</f>
        <v>199</v>
      </c>
      <c r="E51" s="214">
        <f t="shared" si="7"/>
        <v>78</v>
      </c>
      <c r="F51" s="214">
        <f t="shared" si="7"/>
        <v>69</v>
      </c>
      <c r="G51" s="214">
        <f t="shared" si="7"/>
        <v>66</v>
      </c>
      <c r="H51" s="214">
        <f t="shared" si="7"/>
        <v>47</v>
      </c>
      <c r="I51" s="214">
        <f t="shared" si="7"/>
        <v>40</v>
      </c>
      <c r="J51" s="214">
        <f t="shared" si="7"/>
        <v>105</v>
      </c>
      <c r="K51" s="41">
        <f t="shared" si="6"/>
        <v>817</v>
      </c>
    </row>
    <row r="52" spans="1:11" ht="11.25" customHeight="1">
      <c r="A52" s="802"/>
      <c r="B52" s="29" t="s">
        <v>36</v>
      </c>
      <c r="C52" s="214">
        <v>95</v>
      </c>
      <c r="D52" s="214">
        <v>268</v>
      </c>
      <c r="E52" s="214">
        <v>772</v>
      </c>
      <c r="F52" s="214">
        <v>474</v>
      </c>
      <c r="G52" s="214">
        <v>383</v>
      </c>
      <c r="H52" s="214">
        <v>256</v>
      </c>
      <c r="I52" s="214">
        <v>152</v>
      </c>
      <c r="J52" s="214">
        <v>481</v>
      </c>
      <c r="K52" s="41">
        <v>2881</v>
      </c>
    </row>
    <row r="53" spans="1:11" s="17" customFormat="1" ht="11.25" customHeight="1">
      <c r="A53" s="801" t="s">
        <v>6</v>
      </c>
      <c r="B53" s="41" t="s">
        <v>35</v>
      </c>
      <c r="C53" s="215">
        <f>SUM(C43+C45+C47+C49+C51)</f>
        <v>808</v>
      </c>
      <c r="D53" s="215">
        <f>SUM(D43+D45+D47+D49+D51)</f>
        <v>856</v>
      </c>
      <c r="E53" s="215">
        <f aca="true" t="shared" si="8" ref="E53:J53">SUM(E43+E45+E47+E49+E51)</f>
        <v>396</v>
      </c>
      <c r="F53" s="215">
        <f t="shared" si="8"/>
        <v>422</v>
      </c>
      <c r="G53" s="215">
        <f t="shared" si="8"/>
        <v>285</v>
      </c>
      <c r="H53" s="215">
        <f t="shared" si="8"/>
        <v>136</v>
      </c>
      <c r="I53" s="215">
        <f t="shared" si="8"/>
        <v>72</v>
      </c>
      <c r="J53" s="215">
        <f t="shared" si="8"/>
        <v>147</v>
      </c>
      <c r="K53" s="215">
        <f>SUM(C53:J53)</f>
        <v>3122</v>
      </c>
    </row>
    <row r="54" spans="1:11" s="17" customFormat="1" ht="11.25" customHeight="1">
      <c r="A54" s="802"/>
      <c r="B54" s="41" t="s">
        <v>36</v>
      </c>
      <c r="C54" s="215">
        <f>SUM(C44,C46,C48,C50,C52)</f>
        <v>316</v>
      </c>
      <c r="D54" s="215">
        <f>SUM(D44,D46,D48,D50,D52)</f>
        <v>1067</v>
      </c>
      <c r="E54" s="215">
        <f aca="true" t="shared" si="9" ref="E54:J54">SUM(E44,E46,E48,E50,E52)</f>
        <v>3370</v>
      </c>
      <c r="F54" s="215">
        <f t="shared" si="9"/>
        <v>2543</v>
      </c>
      <c r="G54" s="215">
        <f t="shared" si="9"/>
        <v>1955</v>
      </c>
      <c r="H54" s="215">
        <f t="shared" si="9"/>
        <v>1580</v>
      </c>
      <c r="I54" s="215">
        <f t="shared" si="9"/>
        <v>1032</v>
      </c>
      <c r="J54" s="215">
        <f t="shared" si="9"/>
        <v>1597</v>
      </c>
      <c r="K54" s="215">
        <f>SUM(C54:J54)</f>
        <v>13460</v>
      </c>
    </row>
    <row r="55" spans="1:11" ht="15" customHeight="1">
      <c r="A55" s="813" t="s">
        <v>470</v>
      </c>
      <c r="B55" s="814"/>
      <c r="C55" s="814"/>
      <c r="D55" s="814"/>
      <c r="E55" s="814"/>
      <c r="F55" s="814"/>
      <c r="G55" s="814"/>
      <c r="H55" s="814"/>
      <c r="I55" s="814"/>
      <c r="J55" s="814"/>
      <c r="K55" s="814"/>
    </row>
    <row r="56" spans="1:11" ht="15" customHeight="1">
      <c r="A56" s="305"/>
      <c r="C56" s="40"/>
      <c r="D56" s="40"/>
      <c r="E56" s="40"/>
      <c r="F56" s="40"/>
      <c r="G56" s="40"/>
      <c r="H56" s="40"/>
      <c r="I56" s="40"/>
      <c r="J56" s="40"/>
      <c r="K56" s="40"/>
    </row>
    <row r="57" spans="1:11" ht="15" customHeight="1">
      <c r="A57" s="305"/>
      <c r="C57" s="40"/>
      <c r="D57" s="40"/>
      <c r="E57" s="40"/>
      <c r="F57" s="40"/>
      <c r="G57" s="40"/>
      <c r="H57" s="40"/>
      <c r="I57" s="40"/>
      <c r="J57" s="40"/>
      <c r="K57" s="40"/>
    </row>
    <row r="58" spans="1:11" ht="15" customHeight="1">
      <c r="A58" s="305"/>
      <c r="C58" s="40"/>
      <c r="D58" s="40"/>
      <c r="E58" s="40"/>
      <c r="F58" s="40"/>
      <c r="G58" s="40"/>
      <c r="H58" s="40"/>
      <c r="I58" s="40"/>
      <c r="J58" s="40"/>
      <c r="K58" s="40"/>
    </row>
    <row r="59" spans="1:11" ht="35.25" customHeight="1">
      <c r="A59" s="799" t="s">
        <v>487</v>
      </c>
      <c r="B59" s="800"/>
      <c r="C59" s="800"/>
      <c r="D59" s="800"/>
      <c r="E59" s="800"/>
      <c r="F59" s="800"/>
      <c r="G59" s="800"/>
      <c r="H59" s="800"/>
      <c r="I59" s="800"/>
      <c r="J59" s="306"/>
      <c r="K59" s="306"/>
    </row>
    <row r="60" spans="1:9" s="171" customFormat="1" ht="29.25" customHeight="1">
      <c r="A60" s="428" t="s">
        <v>320</v>
      </c>
      <c r="B60" s="402">
        <v>2013</v>
      </c>
      <c r="C60" s="402">
        <v>2012</v>
      </c>
      <c r="D60" s="398">
        <v>2011</v>
      </c>
      <c r="E60" s="398">
        <v>2010</v>
      </c>
      <c r="F60" s="398">
        <v>2009</v>
      </c>
      <c r="G60" s="398">
        <v>2008</v>
      </c>
      <c r="H60" s="398" t="s">
        <v>32</v>
      </c>
      <c r="I60" s="429" t="s">
        <v>8</v>
      </c>
    </row>
    <row r="61" spans="1:9" ht="11.25" customHeight="1">
      <c r="A61" s="431" t="s">
        <v>321</v>
      </c>
      <c r="B61" s="434">
        <v>266</v>
      </c>
      <c r="C61" s="434">
        <v>106</v>
      </c>
      <c r="D61" s="434">
        <v>40</v>
      </c>
      <c r="E61" s="434">
        <v>4</v>
      </c>
      <c r="F61" s="434">
        <v>2</v>
      </c>
      <c r="G61" s="434">
        <v>0</v>
      </c>
      <c r="H61" s="434">
        <v>0</v>
      </c>
      <c r="I61" s="438">
        <v>418</v>
      </c>
    </row>
    <row r="62" spans="1:9" ht="11.25" customHeight="1">
      <c r="A62" s="431" t="s">
        <v>322</v>
      </c>
      <c r="B62" s="434">
        <v>35</v>
      </c>
      <c r="C62" s="434">
        <v>37</v>
      </c>
      <c r="D62" s="434">
        <v>11</v>
      </c>
      <c r="E62" s="434">
        <v>1</v>
      </c>
      <c r="F62" s="434">
        <v>0</v>
      </c>
      <c r="G62" s="434">
        <v>0</v>
      </c>
      <c r="H62" s="434">
        <v>0</v>
      </c>
      <c r="I62" s="438">
        <v>84</v>
      </c>
    </row>
    <row r="63" spans="1:9" ht="11.25" customHeight="1">
      <c r="A63" s="431" t="s">
        <v>323</v>
      </c>
      <c r="B63" s="434">
        <v>18</v>
      </c>
      <c r="C63" s="434">
        <v>23</v>
      </c>
      <c r="D63" s="434">
        <v>14</v>
      </c>
      <c r="E63" s="434">
        <v>9</v>
      </c>
      <c r="F63" s="434">
        <v>3</v>
      </c>
      <c r="G63" s="434">
        <v>0</v>
      </c>
      <c r="H63" s="434">
        <v>0</v>
      </c>
      <c r="I63" s="438">
        <v>67</v>
      </c>
    </row>
    <row r="64" spans="1:9" ht="11.25" customHeight="1">
      <c r="A64" s="440" t="s">
        <v>324</v>
      </c>
      <c r="B64" s="434"/>
      <c r="C64" s="434"/>
      <c r="D64" s="434"/>
      <c r="E64" s="434"/>
      <c r="F64" s="434"/>
      <c r="G64" s="434"/>
      <c r="H64" s="434"/>
      <c r="I64" s="438"/>
    </row>
    <row r="65" spans="1:9" ht="12" customHeight="1">
      <c r="A65" s="431" t="s">
        <v>325</v>
      </c>
      <c r="B65" s="434">
        <v>12</v>
      </c>
      <c r="C65" s="434">
        <v>69</v>
      </c>
      <c r="D65" s="434">
        <v>48</v>
      </c>
      <c r="E65" s="434">
        <v>29</v>
      </c>
      <c r="F65" s="434">
        <v>2</v>
      </c>
      <c r="G65" s="434">
        <v>2</v>
      </c>
      <c r="H65" s="434">
        <v>0</v>
      </c>
      <c r="I65" s="438">
        <v>162</v>
      </c>
    </row>
    <row r="66" spans="1:9" ht="14.25" customHeight="1">
      <c r="A66" s="431" t="s">
        <v>326</v>
      </c>
      <c r="B66" s="434">
        <v>42</v>
      </c>
      <c r="C66" s="434">
        <v>47</v>
      </c>
      <c r="D66" s="434">
        <v>9</v>
      </c>
      <c r="E66" s="434">
        <v>0</v>
      </c>
      <c r="F66" s="434">
        <v>0</v>
      </c>
      <c r="G66" s="434">
        <v>0</v>
      </c>
      <c r="H66" s="434">
        <v>0</v>
      </c>
      <c r="I66" s="438">
        <v>98</v>
      </c>
    </row>
    <row r="67" spans="1:9" s="17" customFormat="1" ht="11.25" customHeight="1" thickBot="1">
      <c r="A67" s="430" t="s">
        <v>327</v>
      </c>
      <c r="B67" s="433">
        <f>SUM(B61:B66)</f>
        <v>373</v>
      </c>
      <c r="C67" s="433">
        <f aca="true" t="shared" si="10" ref="C67:I67">SUM(C61:C66)</f>
        <v>282</v>
      </c>
      <c r="D67" s="433">
        <f t="shared" si="10"/>
        <v>122</v>
      </c>
      <c r="E67" s="433">
        <f t="shared" si="10"/>
        <v>43</v>
      </c>
      <c r="F67" s="433">
        <f t="shared" si="10"/>
        <v>7</v>
      </c>
      <c r="G67" s="433">
        <f t="shared" si="10"/>
        <v>2</v>
      </c>
      <c r="H67" s="433">
        <f t="shared" si="10"/>
        <v>0</v>
      </c>
      <c r="I67" s="433">
        <f t="shared" si="10"/>
        <v>829</v>
      </c>
    </row>
    <row r="68" spans="1:9" ht="11.25" customHeight="1" thickTop="1">
      <c r="A68" s="432" t="s">
        <v>328</v>
      </c>
      <c r="B68" s="435">
        <v>263</v>
      </c>
      <c r="C68" s="435">
        <v>462</v>
      </c>
      <c r="D68" s="435">
        <v>141</v>
      </c>
      <c r="E68" s="435">
        <v>35</v>
      </c>
      <c r="F68" s="435">
        <v>3</v>
      </c>
      <c r="G68" s="435">
        <v>2</v>
      </c>
      <c r="H68" s="435">
        <v>1</v>
      </c>
      <c r="I68" s="439">
        <v>907</v>
      </c>
    </row>
    <row r="69" spans="1:9" ht="11.25" customHeight="1">
      <c r="A69" s="431" t="s">
        <v>329</v>
      </c>
      <c r="B69" s="434">
        <v>19</v>
      </c>
      <c r="C69" s="434">
        <v>15</v>
      </c>
      <c r="D69" s="434">
        <v>45</v>
      </c>
      <c r="E69" s="434">
        <v>18</v>
      </c>
      <c r="F69" s="434">
        <v>14</v>
      </c>
      <c r="G69" s="434">
        <v>4</v>
      </c>
      <c r="H69" s="434">
        <v>2</v>
      </c>
      <c r="I69" s="438">
        <v>117</v>
      </c>
    </row>
    <row r="70" spans="1:9" ht="11.25" customHeight="1">
      <c r="A70" s="431" t="s">
        <v>330</v>
      </c>
      <c r="B70" s="434">
        <v>26</v>
      </c>
      <c r="C70" s="434">
        <v>137</v>
      </c>
      <c r="D70" s="434">
        <v>52</v>
      </c>
      <c r="E70" s="434">
        <v>10</v>
      </c>
      <c r="F70" s="434">
        <v>0</v>
      </c>
      <c r="G70" s="434">
        <v>1</v>
      </c>
      <c r="H70" s="434">
        <v>0</v>
      </c>
      <c r="I70" s="438">
        <v>226</v>
      </c>
    </row>
    <row r="71" spans="1:9" ht="11.25" customHeight="1">
      <c r="A71" s="431" t="s">
        <v>331</v>
      </c>
      <c r="B71" s="434">
        <v>149</v>
      </c>
      <c r="C71" s="434">
        <v>107</v>
      </c>
      <c r="D71" s="434">
        <v>27</v>
      </c>
      <c r="E71" s="434">
        <v>3</v>
      </c>
      <c r="F71" s="434">
        <v>0</v>
      </c>
      <c r="G71" s="434">
        <v>0</v>
      </c>
      <c r="H71" s="434">
        <v>0</v>
      </c>
      <c r="I71" s="438">
        <v>286</v>
      </c>
    </row>
    <row r="72" spans="1:9" ht="11.25" customHeight="1">
      <c r="A72" s="431" t="s">
        <v>332</v>
      </c>
      <c r="B72" s="434">
        <v>63</v>
      </c>
      <c r="C72" s="434">
        <v>67</v>
      </c>
      <c r="D72" s="434">
        <v>30</v>
      </c>
      <c r="E72" s="434">
        <v>7</v>
      </c>
      <c r="F72" s="434">
        <v>0</v>
      </c>
      <c r="G72" s="434">
        <v>0</v>
      </c>
      <c r="H72" s="434">
        <v>0</v>
      </c>
      <c r="I72" s="438">
        <v>167</v>
      </c>
    </row>
    <row r="73" spans="1:9" ht="11.25" customHeight="1">
      <c r="A73" s="431" t="s">
        <v>333</v>
      </c>
      <c r="B73" s="434">
        <v>1422</v>
      </c>
      <c r="C73" s="434">
        <v>2171</v>
      </c>
      <c r="D73" s="434">
        <v>383</v>
      </c>
      <c r="E73" s="434">
        <v>127</v>
      </c>
      <c r="F73" s="434">
        <v>48</v>
      </c>
      <c r="G73" s="434">
        <v>16</v>
      </c>
      <c r="H73" s="434">
        <v>14</v>
      </c>
      <c r="I73" s="438">
        <v>4181</v>
      </c>
    </row>
    <row r="74" spans="1:9" ht="11.25" customHeight="1">
      <c r="A74" s="440" t="s">
        <v>334</v>
      </c>
      <c r="B74" s="434"/>
      <c r="C74" s="434"/>
      <c r="D74" s="434"/>
      <c r="E74" s="434"/>
      <c r="F74" s="434"/>
      <c r="G74" s="434"/>
      <c r="H74" s="434"/>
      <c r="I74" s="438"/>
    </row>
    <row r="75" spans="1:9" ht="11.25" customHeight="1">
      <c r="A75" s="431" t="s">
        <v>335</v>
      </c>
      <c r="B75" s="434">
        <v>40</v>
      </c>
      <c r="C75" s="434">
        <v>64</v>
      </c>
      <c r="D75" s="434">
        <v>4</v>
      </c>
      <c r="E75" s="434">
        <v>2</v>
      </c>
      <c r="F75" s="434">
        <v>0</v>
      </c>
      <c r="G75" s="434">
        <v>0</v>
      </c>
      <c r="H75" s="434">
        <v>0</v>
      </c>
      <c r="I75" s="438">
        <v>110</v>
      </c>
    </row>
    <row r="76" spans="1:9" ht="11.25" customHeight="1">
      <c r="A76" s="431" t="s">
        <v>336</v>
      </c>
      <c r="B76" s="434">
        <v>305</v>
      </c>
      <c r="C76" s="434">
        <v>264</v>
      </c>
      <c r="D76" s="434">
        <v>100</v>
      </c>
      <c r="E76" s="434">
        <v>40</v>
      </c>
      <c r="F76" s="434">
        <v>7</v>
      </c>
      <c r="G76" s="434">
        <v>0</v>
      </c>
      <c r="H76" s="434">
        <v>0</v>
      </c>
      <c r="I76" s="438">
        <v>716</v>
      </c>
    </row>
    <row r="77" spans="1:9" ht="11.25" customHeight="1">
      <c r="A77" s="431" t="s">
        <v>337</v>
      </c>
      <c r="B77" s="434">
        <v>114</v>
      </c>
      <c r="C77" s="434">
        <v>289</v>
      </c>
      <c r="D77" s="434">
        <v>377</v>
      </c>
      <c r="E77" s="434">
        <v>110</v>
      </c>
      <c r="F77" s="434">
        <v>8</v>
      </c>
      <c r="G77" s="434">
        <v>2</v>
      </c>
      <c r="H77" s="434">
        <v>0</v>
      </c>
      <c r="I77" s="438">
        <v>900</v>
      </c>
    </row>
    <row r="78" spans="1:9" ht="11.25" customHeight="1">
      <c r="A78" s="431" t="s">
        <v>338</v>
      </c>
      <c r="B78" s="434">
        <v>66</v>
      </c>
      <c r="C78" s="434">
        <v>16</v>
      </c>
      <c r="D78" s="434">
        <v>0</v>
      </c>
      <c r="E78" s="434">
        <v>0</v>
      </c>
      <c r="F78" s="434">
        <v>0</v>
      </c>
      <c r="G78" s="434">
        <v>0</v>
      </c>
      <c r="H78" s="434">
        <v>0</v>
      </c>
      <c r="I78" s="438">
        <v>82</v>
      </c>
    </row>
    <row r="79" spans="1:9" ht="11.25" customHeight="1">
      <c r="A79" s="431" t="s">
        <v>339</v>
      </c>
      <c r="B79" s="434">
        <v>19</v>
      </c>
      <c r="C79" s="434">
        <v>31</v>
      </c>
      <c r="D79" s="434">
        <v>6</v>
      </c>
      <c r="E79" s="434">
        <v>1</v>
      </c>
      <c r="F79" s="434">
        <v>0</v>
      </c>
      <c r="G79" s="434">
        <v>0</v>
      </c>
      <c r="H79" s="434">
        <v>0</v>
      </c>
      <c r="I79" s="438">
        <v>57</v>
      </c>
    </row>
    <row r="80" spans="1:9" ht="11.25" customHeight="1">
      <c r="A80" s="440" t="s">
        <v>340</v>
      </c>
      <c r="B80" s="434"/>
      <c r="C80" s="434"/>
      <c r="D80" s="434"/>
      <c r="E80" s="434"/>
      <c r="F80" s="434"/>
      <c r="G80" s="434"/>
      <c r="H80" s="434"/>
      <c r="I80" s="438"/>
    </row>
    <row r="81" spans="1:9" s="17" customFormat="1" ht="11.25" customHeight="1" thickBot="1">
      <c r="A81" s="430" t="s">
        <v>341</v>
      </c>
      <c r="B81" s="433">
        <f>SUM(B68:B80)</f>
        <v>2486</v>
      </c>
      <c r="C81" s="433">
        <f aca="true" t="shared" si="11" ref="C81:I81">SUM(C68:C80)</f>
        <v>3623</v>
      </c>
      <c r="D81" s="433">
        <f t="shared" si="11"/>
        <v>1165</v>
      </c>
      <c r="E81" s="433">
        <f t="shared" si="11"/>
        <v>353</v>
      </c>
      <c r="F81" s="433">
        <f t="shared" si="11"/>
        <v>80</v>
      </c>
      <c r="G81" s="433">
        <f t="shared" si="11"/>
        <v>25</v>
      </c>
      <c r="H81" s="433">
        <f t="shared" si="11"/>
        <v>17</v>
      </c>
      <c r="I81" s="433">
        <f t="shared" si="11"/>
        <v>7749</v>
      </c>
    </row>
    <row r="82" spans="1:9" ht="11.25" customHeight="1" thickTop="1">
      <c r="A82" s="432" t="s">
        <v>345</v>
      </c>
      <c r="B82" s="435">
        <v>1</v>
      </c>
      <c r="C82" s="435">
        <v>13</v>
      </c>
      <c r="D82" s="435">
        <v>19</v>
      </c>
      <c r="E82" s="435">
        <v>33</v>
      </c>
      <c r="F82" s="435">
        <v>34</v>
      </c>
      <c r="G82" s="435">
        <v>17</v>
      </c>
      <c r="H82" s="435">
        <v>1</v>
      </c>
      <c r="I82" s="439">
        <v>118</v>
      </c>
    </row>
    <row r="83" spans="1:9" ht="11.25" customHeight="1">
      <c r="A83" s="431" t="s">
        <v>346</v>
      </c>
      <c r="B83" s="434">
        <v>4</v>
      </c>
      <c r="C83" s="434">
        <v>37</v>
      </c>
      <c r="D83" s="434">
        <v>43</v>
      </c>
      <c r="E83" s="434">
        <v>18</v>
      </c>
      <c r="F83" s="434">
        <v>7</v>
      </c>
      <c r="G83" s="434">
        <v>0</v>
      </c>
      <c r="H83" s="434">
        <v>0</v>
      </c>
      <c r="I83" s="438">
        <v>109</v>
      </c>
    </row>
    <row r="84" spans="1:9" ht="11.25" customHeight="1">
      <c r="A84" s="431" t="s">
        <v>342</v>
      </c>
      <c r="B84" s="434">
        <v>26</v>
      </c>
      <c r="C84" s="434">
        <v>73</v>
      </c>
      <c r="D84" s="434">
        <v>32</v>
      </c>
      <c r="E84" s="434">
        <v>5</v>
      </c>
      <c r="F84" s="434">
        <v>1</v>
      </c>
      <c r="G84" s="434">
        <v>1</v>
      </c>
      <c r="H84" s="434">
        <v>1</v>
      </c>
      <c r="I84" s="438">
        <v>139</v>
      </c>
    </row>
    <row r="85" spans="1:9" ht="11.25" customHeight="1">
      <c r="A85" s="431" t="s">
        <v>343</v>
      </c>
      <c r="B85" s="434">
        <v>65</v>
      </c>
      <c r="C85" s="434">
        <v>130</v>
      </c>
      <c r="D85" s="434">
        <v>60</v>
      </c>
      <c r="E85" s="434">
        <v>28</v>
      </c>
      <c r="F85" s="434">
        <v>5</v>
      </c>
      <c r="G85" s="434">
        <v>2</v>
      </c>
      <c r="H85" s="434">
        <v>2</v>
      </c>
      <c r="I85" s="438">
        <v>292</v>
      </c>
    </row>
    <row r="86" spans="1:9" ht="11.25" customHeight="1">
      <c r="A86" s="431" t="s">
        <v>347</v>
      </c>
      <c r="B86" s="434">
        <v>132</v>
      </c>
      <c r="C86" s="434">
        <v>299</v>
      </c>
      <c r="D86" s="434">
        <v>134</v>
      </c>
      <c r="E86" s="434">
        <v>49</v>
      </c>
      <c r="F86" s="434">
        <v>27</v>
      </c>
      <c r="G86" s="434">
        <v>15</v>
      </c>
      <c r="H86" s="434">
        <v>11</v>
      </c>
      <c r="I86" s="438">
        <v>667</v>
      </c>
    </row>
    <row r="87" spans="1:9" ht="11.25" customHeight="1">
      <c r="A87" s="431" t="s">
        <v>344</v>
      </c>
      <c r="B87" s="434">
        <v>36</v>
      </c>
      <c r="C87" s="434">
        <v>47</v>
      </c>
      <c r="D87" s="434">
        <v>6</v>
      </c>
      <c r="E87" s="434">
        <v>1</v>
      </c>
      <c r="F87" s="434">
        <v>0</v>
      </c>
      <c r="G87" s="434">
        <v>0</v>
      </c>
      <c r="H87" s="434">
        <v>0</v>
      </c>
      <c r="I87" s="438">
        <v>90</v>
      </c>
    </row>
    <row r="88" spans="1:9" ht="11.25" customHeight="1">
      <c r="A88" s="431" t="s">
        <v>348</v>
      </c>
      <c r="B88" s="434">
        <v>95</v>
      </c>
      <c r="C88" s="434">
        <v>442</v>
      </c>
      <c r="D88" s="434">
        <v>64</v>
      </c>
      <c r="E88" s="434">
        <v>35</v>
      </c>
      <c r="F88" s="434">
        <v>14</v>
      </c>
      <c r="G88" s="434">
        <v>1</v>
      </c>
      <c r="H88" s="434">
        <v>1</v>
      </c>
      <c r="I88" s="438">
        <v>652</v>
      </c>
    </row>
    <row r="89" spans="1:9" s="17" customFormat="1" ht="11.25" customHeight="1" thickBot="1">
      <c r="A89" s="430" t="s">
        <v>349</v>
      </c>
      <c r="B89" s="433">
        <f>SUM(B82:B88)</f>
        <v>359</v>
      </c>
      <c r="C89" s="433">
        <f aca="true" t="shared" si="12" ref="C89:I89">SUM(C82:C88)</f>
        <v>1041</v>
      </c>
      <c r="D89" s="433">
        <f t="shared" si="12"/>
        <v>358</v>
      </c>
      <c r="E89" s="433">
        <f t="shared" si="12"/>
        <v>169</v>
      </c>
      <c r="F89" s="433">
        <f t="shared" si="12"/>
        <v>88</v>
      </c>
      <c r="G89" s="433">
        <f t="shared" si="12"/>
        <v>36</v>
      </c>
      <c r="H89" s="433">
        <f t="shared" si="12"/>
        <v>16</v>
      </c>
      <c r="I89" s="433">
        <f t="shared" si="12"/>
        <v>2067</v>
      </c>
    </row>
    <row r="90" spans="1:9" ht="11.25" customHeight="1" thickTop="1">
      <c r="A90" s="432" t="s">
        <v>350</v>
      </c>
      <c r="B90" s="435">
        <v>105</v>
      </c>
      <c r="C90" s="435">
        <v>121</v>
      </c>
      <c r="D90" s="435">
        <v>49</v>
      </c>
      <c r="E90" s="435">
        <v>20</v>
      </c>
      <c r="F90" s="435">
        <v>12</v>
      </c>
      <c r="G90" s="435">
        <v>7</v>
      </c>
      <c r="H90" s="435">
        <v>5</v>
      </c>
      <c r="I90" s="439">
        <v>319</v>
      </c>
    </row>
    <row r="91" spans="1:9" ht="11.25" customHeight="1">
      <c r="A91" s="431" t="s">
        <v>351</v>
      </c>
      <c r="B91" s="434">
        <v>180</v>
      </c>
      <c r="C91" s="434">
        <v>96</v>
      </c>
      <c r="D91" s="434">
        <v>60</v>
      </c>
      <c r="E91" s="434">
        <v>14</v>
      </c>
      <c r="F91" s="434">
        <v>10</v>
      </c>
      <c r="G91" s="434">
        <v>1</v>
      </c>
      <c r="H91" s="434">
        <v>2</v>
      </c>
      <c r="I91" s="438">
        <v>363</v>
      </c>
    </row>
    <row r="92" spans="1:9" ht="11.25" customHeight="1">
      <c r="A92" s="431" t="s">
        <v>352</v>
      </c>
      <c r="B92" s="434">
        <v>21</v>
      </c>
      <c r="C92" s="434">
        <v>54</v>
      </c>
      <c r="D92" s="434">
        <v>33</v>
      </c>
      <c r="E92" s="434">
        <v>16</v>
      </c>
      <c r="F92" s="434">
        <v>4</v>
      </c>
      <c r="G92" s="434">
        <v>0</v>
      </c>
      <c r="H92" s="434">
        <v>0</v>
      </c>
      <c r="I92" s="438">
        <v>128</v>
      </c>
    </row>
    <row r="93" spans="1:9" ht="11.25" customHeight="1">
      <c r="A93" s="431" t="s">
        <v>353</v>
      </c>
      <c r="B93" s="434">
        <v>309</v>
      </c>
      <c r="C93" s="434">
        <v>150</v>
      </c>
      <c r="D93" s="434">
        <v>16</v>
      </c>
      <c r="E93" s="434">
        <v>2</v>
      </c>
      <c r="F93" s="434">
        <v>0</v>
      </c>
      <c r="G93" s="434">
        <v>0</v>
      </c>
      <c r="H93" s="434">
        <v>0</v>
      </c>
      <c r="I93" s="438">
        <v>477</v>
      </c>
    </row>
    <row r="94" spans="1:9" ht="11.25" customHeight="1">
      <c r="A94" s="431" t="s">
        <v>354</v>
      </c>
      <c r="B94" s="434">
        <v>25</v>
      </c>
      <c r="C94" s="434">
        <v>143</v>
      </c>
      <c r="D94" s="434">
        <v>48</v>
      </c>
      <c r="E94" s="434">
        <v>33</v>
      </c>
      <c r="F94" s="434">
        <v>8</v>
      </c>
      <c r="G94" s="434">
        <v>3</v>
      </c>
      <c r="H94" s="434">
        <v>1</v>
      </c>
      <c r="I94" s="438">
        <v>261</v>
      </c>
    </row>
    <row r="95" spans="1:9" ht="11.25" customHeight="1">
      <c r="A95" s="431" t="s">
        <v>355</v>
      </c>
      <c r="B95" s="434">
        <v>141</v>
      </c>
      <c r="C95" s="434">
        <v>112</v>
      </c>
      <c r="D95" s="434">
        <v>14</v>
      </c>
      <c r="E95" s="434">
        <v>14</v>
      </c>
      <c r="F95" s="434">
        <v>1</v>
      </c>
      <c r="G95" s="434">
        <v>1</v>
      </c>
      <c r="H95" s="434">
        <v>0</v>
      </c>
      <c r="I95" s="438">
        <v>283</v>
      </c>
    </row>
    <row r="96" spans="1:9" ht="11.25" customHeight="1">
      <c r="A96" s="431" t="s">
        <v>356</v>
      </c>
      <c r="B96" s="434">
        <v>40</v>
      </c>
      <c r="C96" s="434">
        <v>18</v>
      </c>
      <c r="D96" s="434">
        <v>2</v>
      </c>
      <c r="E96" s="434">
        <v>0</v>
      </c>
      <c r="F96" s="434">
        <v>0</v>
      </c>
      <c r="G96" s="434">
        <v>0</v>
      </c>
      <c r="H96" s="434">
        <v>0</v>
      </c>
      <c r="I96" s="438">
        <v>60</v>
      </c>
    </row>
    <row r="97" spans="1:9" ht="11.25" customHeight="1">
      <c r="A97" s="431" t="s">
        <v>357</v>
      </c>
      <c r="B97" s="434">
        <v>601</v>
      </c>
      <c r="C97" s="434">
        <v>621</v>
      </c>
      <c r="D97" s="434">
        <v>186</v>
      </c>
      <c r="E97" s="434">
        <v>99</v>
      </c>
      <c r="F97" s="434">
        <v>41</v>
      </c>
      <c r="G97" s="434">
        <v>12</v>
      </c>
      <c r="H97" s="434">
        <v>5</v>
      </c>
      <c r="I97" s="438">
        <v>1565</v>
      </c>
    </row>
    <row r="98" spans="1:9" ht="11.25" customHeight="1">
      <c r="A98" s="431" t="s">
        <v>358</v>
      </c>
      <c r="B98" s="434">
        <v>0</v>
      </c>
      <c r="C98" s="434">
        <v>4</v>
      </c>
      <c r="D98" s="434">
        <v>4</v>
      </c>
      <c r="E98" s="434">
        <v>0</v>
      </c>
      <c r="F98" s="434">
        <v>0</v>
      </c>
      <c r="G98" s="434">
        <v>0</v>
      </c>
      <c r="H98" s="434">
        <v>0</v>
      </c>
      <c r="I98" s="438">
        <v>8</v>
      </c>
    </row>
    <row r="99" spans="1:9" s="17" customFormat="1" ht="11.25" customHeight="1" thickBot="1">
      <c r="A99" s="430" t="s">
        <v>359</v>
      </c>
      <c r="B99" s="433">
        <f>SUM(B90:B98)</f>
        <v>1422</v>
      </c>
      <c r="C99" s="433">
        <f aca="true" t="shared" si="13" ref="C99:I99">SUM(C90:C98)</f>
        <v>1319</v>
      </c>
      <c r="D99" s="433">
        <f t="shared" si="13"/>
        <v>412</v>
      </c>
      <c r="E99" s="433">
        <f t="shared" si="13"/>
        <v>198</v>
      </c>
      <c r="F99" s="433">
        <f t="shared" si="13"/>
        <v>76</v>
      </c>
      <c r="G99" s="433">
        <f t="shared" si="13"/>
        <v>24</v>
      </c>
      <c r="H99" s="433">
        <f t="shared" si="13"/>
        <v>13</v>
      </c>
      <c r="I99" s="433">
        <f t="shared" si="13"/>
        <v>3464</v>
      </c>
    </row>
    <row r="100" spans="1:9" ht="11.25" customHeight="1" thickBot="1" thickTop="1">
      <c r="A100" s="437" t="s">
        <v>246</v>
      </c>
      <c r="B100" s="436">
        <f>B67+B81+B89+B99</f>
        <v>4640</v>
      </c>
      <c r="C100" s="436">
        <f aca="true" t="shared" si="14" ref="C100:I100">C67+C81+C89+C99</f>
        <v>6265</v>
      </c>
      <c r="D100" s="436">
        <f t="shared" si="14"/>
        <v>2057</v>
      </c>
      <c r="E100" s="436">
        <f t="shared" si="14"/>
        <v>763</v>
      </c>
      <c r="F100" s="436">
        <f t="shared" si="14"/>
        <v>251</v>
      </c>
      <c r="G100" s="436">
        <f t="shared" si="14"/>
        <v>87</v>
      </c>
      <c r="H100" s="436">
        <f t="shared" si="14"/>
        <v>46</v>
      </c>
      <c r="I100" s="436">
        <f t="shared" si="14"/>
        <v>14109</v>
      </c>
    </row>
    <row r="101" ht="12.75" thickTop="1">
      <c r="A101" s="308" t="s">
        <v>219</v>
      </c>
    </row>
    <row r="102" ht="12">
      <c r="A102" s="562" t="s">
        <v>462</v>
      </c>
    </row>
    <row r="103" ht="12">
      <c r="A103" s="323" t="s">
        <v>471</v>
      </c>
    </row>
    <row r="104" ht="12">
      <c r="A104" s="323" t="s">
        <v>472</v>
      </c>
    </row>
    <row r="105" spans="1:11" ht="31.5" customHeight="1">
      <c r="A105" s="799" t="s">
        <v>377</v>
      </c>
      <c r="B105" s="800"/>
      <c r="C105" s="800"/>
      <c r="D105" s="800"/>
      <c r="E105" s="800"/>
      <c r="F105" s="800"/>
      <c r="G105" s="800"/>
      <c r="H105" s="800"/>
      <c r="I105" s="800"/>
      <c r="J105" s="306"/>
      <c r="K105" s="306"/>
    </row>
    <row r="106" spans="1:11" ht="12.75" customHeight="1">
      <c r="A106" s="303"/>
      <c r="B106" s="303"/>
      <c r="C106" s="303"/>
      <c r="D106" s="303"/>
      <c r="E106" s="303"/>
      <c r="F106" s="303"/>
      <c r="G106" s="303"/>
      <c r="H106" s="303"/>
      <c r="I106" s="303"/>
      <c r="J106" s="303"/>
      <c r="K106" s="303"/>
    </row>
    <row r="107" spans="1:9" ht="29.25" customHeight="1">
      <c r="A107" s="307" t="s">
        <v>20</v>
      </c>
      <c r="B107" s="309">
        <v>2013</v>
      </c>
      <c r="C107" s="309">
        <v>2012</v>
      </c>
      <c r="D107" s="309">
        <v>2011</v>
      </c>
      <c r="E107" s="309">
        <v>2010</v>
      </c>
      <c r="F107" s="309">
        <v>2009</v>
      </c>
      <c r="G107" s="309">
        <v>2008</v>
      </c>
      <c r="H107" s="170" t="s">
        <v>32</v>
      </c>
      <c r="I107" s="170" t="s">
        <v>24</v>
      </c>
    </row>
    <row r="108" spans="1:9" s="17" customFormat="1" ht="11.25" customHeight="1">
      <c r="A108" s="310" t="s">
        <v>160</v>
      </c>
      <c r="B108" s="311">
        <f aca="true" t="shared" si="15" ref="B108:I108">SUM(B61:B66)</f>
        <v>373</v>
      </c>
      <c r="C108" s="311">
        <f t="shared" si="15"/>
        <v>282</v>
      </c>
      <c r="D108" s="311">
        <f t="shared" si="15"/>
        <v>122</v>
      </c>
      <c r="E108" s="311">
        <f t="shared" si="15"/>
        <v>43</v>
      </c>
      <c r="F108" s="311">
        <f t="shared" si="15"/>
        <v>7</v>
      </c>
      <c r="G108" s="311">
        <f t="shared" si="15"/>
        <v>2</v>
      </c>
      <c r="H108" s="311">
        <f t="shared" si="15"/>
        <v>0</v>
      </c>
      <c r="I108" s="311">
        <f t="shared" si="15"/>
        <v>829</v>
      </c>
    </row>
    <row r="109" spans="1:9" s="17" customFormat="1" ht="11.25" customHeight="1">
      <c r="A109" s="310" t="s">
        <v>167</v>
      </c>
      <c r="B109" s="311">
        <f aca="true" t="shared" si="16" ref="B109:I109">SUM(B68:B80)</f>
        <v>2486</v>
      </c>
      <c r="C109" s="311">
        <f t="shared" si="16"/>
        <v>3623</v>
      </c>
      <c r="D109" s="311">
        <f t="shared" si="16"/>
        <v>1165</v>
      </c>
      <c r="E109" s="311">
        <f t="shared" si="16"/>
        <v>353</v>
      </c>
      <c r="F109" s="311">
        <f t="shared" si="16"/>
        <v>80</v>
      </c>
      <c r="G109" s="311">
        <f t="shared" si="16"/>
        <v>25</v>
      </c>
      <c r="H109" s="311">
        <f t="shared" si="16"/>
        <v>17</v>
      </c>
      <c r="I109" s="311">
        <f t="shared" si="16"/>
        <v>7749</v>
      </c>
    </row>
    <row r="110" spans="1:9" s="17" customFormat="1" ht="11.25" customHeight="1">
      <c r="A110" s="310" t="s">
        <v>184</v>
      </c>
      <c r="B110" s="311">
        <f aca="true" t="shared" si="17" ref="B110:I110">SUM(B82:B88)</f>
        <v>359</v>
      </c>
      <c r="C110" s="311">
        <f t="shared" si="17"/>
        <v>1041</v>
      </c>
      <c r="D110" s="311">
        <f t="shared" si="17"/>
        <v>358</v>
      </c>
      <c r="E110" s="311">
        <f t="shared" si="17"/>
        <v>169</v>
      </c>
      <c r="F110" s="311">
        <f t="shared" si="17"/>
        <v>88</v>
      </c>
      <c r="G110" s="311">
        <f t="shared" si="17"/>
        <v>36</v>
      </c>
      <c r="H110" s="311">
        <f t="shared" si="17"/>
        <v>16</v>
      </c>
      <c r="I110" s="311">
        <f t="shared" si="17"/>
        <v>2067</v>
      </c>
    </row>
    <row r="111" spans="1:9" s="17" customFormat="1" ht="11.25" customHeight="1">
      <c r="A111" s="310" t="s">
        <v>189</v>
      </c>
      <c r="B111" s="311">
        <f aca="true" t="shared" si="18" ref="B111:I111">SUM(B90:B98)</f>
        <v>1422</v>
      </c>
      <c r="C111" s="311">
        <f t="shared" si="18"/>
        <v>1319</v>
      </c>
      <c r="D111" s="311">
        <f t="shared" si="18"/>
        <v>412</v>
      </c>
      <c r="E111" s="311">
        <f t="shared" si="18"/>
        <v>198</v>
      </c>
      <c r="F111" s="311">
        <f t="shared" si="18"/>
        <v>76</v>
      </c>
      <c r="G111" s="311">
        <f t="shared" si="18"/>
        <v>24</v>
      </c>
      <c r="H111" s="311">
        <f t="shared" si="18"/>
        <v>13</v>
      </c>
      <c r="I111" s="311">
        <f t="shared" si="18"/>
        <v>3464</v>
      </c>
    </row>
    <row r="112" spans="1:9" ht="11.25" customHeight="1">
      <c r="A112" s="278" t="s">
        <v>5</v>
      </c>
      <c r="B112" s="312">
        <f aca="true" t="shared" si="19" ref="B112:I112">SUM(B108:B111)</f>
        <v>4640</v>
      </c>
      <c r="C112" s="312">
        <f t="shared" si="19"/>
        <v>6265</v>
      </c>
      <c r="D112" s="312">
        <f t="shared" si="19"/>
        <v>2057</v>
      </c>
      <c r="E112" s="312">
        <f t="shared" si="19"/>
        <v>763</v>
      </c>
      <c r="F112" s="312">
        <f t="shared" si="19"/>
        <v>251</v>
      </c>
      <c r="G112" s="312">
        <f t="shared" si="19"/>
        <v>87</v>
      </c>
      <c r="H112" s="312">
        <f t="shared" si="19"/>
        <v>46</v>
      </c>
      <c r="I112" s="312">
        <f t="shared" si="19"/>
        <v>14109</v>
      </c>
    </row>
  </sheetData>
  <sheetProtection/>
  <mergeCells count="17">
    <mergeCell ref="A40:K40"/>
    <mergeCell ref="A47:A48"/>
    <mergeCell ref="A45:A46"/>
    <mergeCell ref="A59:I59"/>
    <mergeCell ref="A43:A44"/>
    <mergeCell ref="A49:A50"/>
    <mergeCell ref="A55:K55"/>
    <mergeCell ref="A105:I105"/>
    <mergeCell ref="A53:A54"/>
    <mergeCell ref="A51:A52"/>
    <mergeCell ref="A1:K1"/>
    <mergeCell ref="A12:K12"/>
    <mergeCell ref="A30:A31"/>
    <mergeCell ref="A34:A35"/>
    <mergeCell ref="A14:A15"/>
    <mergeCell ref="A18:A19"/>
    <mergeCell ref="A28:A29"/>
  </mergeCells>
  <printOptions/>
  <pageMargins left="0" right="0" top="0" bottom="0" header="0" footer="0"/>
  <pageSetup fitToHeight="3" horizontalDpi="600" verticalDpi="600" orientation="landscape" paperSize="9" r:id="rId1"/>
  <rowBreaks count="4" manualBreakCount="4">
    <brk id="11" max="255" man="1"/>
    <brk id="39" max="255" man="1"/>
    <brk id="58" max="255" man="1"/>
    <brk id="104" max="255" man="1"/>
  </rowBreaks>
</worksheet>
</file>

<file path=xl/worksheets/sheet13.xml><?xml version="1.0" encoding="utf-8"?>
<worksheet xmlns="http://schemas.openxmlformats.org/spreadsheetml/2006/main" xmlns:r="http://schemas.openxmlformats.org/officeDocument/2006/relationships">
  <sheetPr>
    <tabColor rgb="FF92D050"/>
  </sheetPr>
  <dimension ref="B1:L34"/>
  <sheetViews>
    <sheetView zoomScalePageLayoutView="0" workbookViewId="0" topLeftCell="A16">
      <selection activeCell="D15" sqref="D15"/>
    </sheetView>
  </sheetViews>
  <sheetFormatPr defaultColWidth="9.140625" defaultRowHeight="12.75"/>
  <cols>
    <col min="2" max="2" width="21.140625" style="163" customWidth="1"/>
    <col min="3" max="12" width="10.28125" style="163" customWidth="1"/>
  </cols>
  <sheetData>
    <row r="1" spans="3:5" ht="12.75">
      <c r="C1" s="313"/>
      <c r="D1" s="313"/>
      <c r="E1" s="313"/>
    </row>
    <row r="2" ht="12.75">
      <c r="B2" s="169" t="s">
        <v>378</v>
      </c>
    </row>
    <row r="3" spans="2:12" ht="22.5">
      <c r="B3" s="175" t="s">
        <v>33</v>
      </c>
      <c r="C3" s="314" t="s">
        <v>34</v>
      </c>
      <c r="D3" s="314">
        <v>2013</v>
      </c>
      <c r="E3" s="314">
        <v>2012</v>
      </c>
      <c r="F3" s="314">
        <v>2011</v>
      </c>
      <c r="G3" s="314">
        <v>2010</v>
      </c>
      <c r="H3" s="314">
        <v>2009</v>
      </c>
      <c r="I3" s="314">
        <v>2008</v>
      </c>
      <c r="J3" s="314">
        <v>2007</v>
      </c>
      <c r="K3" s="314" t="s">
        <v>32</v>
      </c>
      <c r="L3" s="314" t="s">
        <v>8</v>
      </c>
    </row>
    <row r="4" spans="2:12" ht="14.25" customHeight="1">
      <c r="B4" s="815" t="s">
        <v>215</v>
      </c>
      <c r="C4" s="176" t="s">
        <v>35</v>
      </c>
      <c r="D4" s="315">
        <v>54</v>
      </c>
      <c r="E4" s="315">
        <v>22</v>
      </c>
      <c r="F4" s="315">
        <v>5</v>
      </c>
      <c r="G4" s="315">
        <v>7</v>
      </c>
      <c r="H4" s="315">
        <v>15</v>
      </c>
      <c r="I4" s="315">
        <v>14</v>
      </c>
      <c r="J4" s="315">
        <v>8</v>
      </c>
      <c r="K4" s="315">
        <v>8</v>
      </c>
      <c r="L4" s="174">
        <v>133</v>
      </c>
    </row>
    <row r="5" spans="2:12" ht="14.25" customHeight="1">
      <c r="B5" s="816"/>
      <c r="C5" s="176" t="s">
        <v>36</v>
      </c>
      <c r="D5" s="315">
        <v>19</v>
      </c>
      <c r="E5" s="315">
        <v>75</v>
      </c>
      <c r="F5" s="315">
        <v>280</v>
      </c>
      <c r="G5" s="315">
        <v>219</v>
      </c>
      <c r="H5" s="315">
        <v>165</v>
      </c>
      <c r="I5" s="315">
        <v>122</v>
      </c>
      <c r="J5" s="315">
        <v>62</v>
      </c>
      <c r="K5" s="315">
        <v>145</v>
      </c>
      <c r="L5" s="174">
        <v>1087</v>
      </c>
    </row>
    <row r="6" spans="2:12" ht="14.25" customHeight="1">
      <c r="B6" s="817" t="s">
        <v>216</v>
      </c>
      <c r="C6" s="176" t="s">
        <v>35</v>
      </c>
      <c r="D6" s="315">
        <v>397</v>
      </c>
      <c r="E6" s="315">
        <v>513</v>
      </c>
      <c r="F6" s="315">
        <v>256</v>
      </c>
      <c r="G6" s="315">
        <v>298</v>
      </c>
      <c r="H6" s="315">
        <v>185</v>
      </c>
      <c r="I6" s="315">
        <v>64</v>
      </c>
      <c r="J6" s="315">
        <v>19</v>
      </c>
      <c r="K6" s="315">
        <v>27</v>
      </c>
      <c r="L6" s="174">
        <v>1759</v>
      </c>
    </row>
    <row r="7" spans="2:12" ht="14.25" customHeight="1">
      <c r="B7" s="818"/>
      <c r="C7" s="176" t="s">
        <v>36</v>
      </c>
      <c r="D7" s="315">
        <v>172</v>
      </c>
      <c r="E7" s="315">
        <v>567</v>
      </c>
      <c r="F7" s="315">
        <v>1792</v>
      </c>
      <c r="G7" s="315">
        <v>1321</v>
      </c>
      <c r="H7" s="315">
        <v>1062</v>
      </c>
      <c r="I7" s="315">
        <v>949</v>
      </c>
      <c r="J7" s="315">
        <v>629</v>
      </c>
      <c r="K7" s="315">
        <v>729</v>
      </c>
      <c r="L7" s="174">
        <v>7221</v>
      </c>
    </row>
    <row r="8" spans="2:12" ht="14.25" customHeight="1">
      <c r="B8" s="819" t="s">
        <v>474</v>
      </c>
      <c r="C8" s="176" t="s">
        <v>35</v>
      </c>
      <c r="D8" s="315">
        <v>46</v>
      </c>
      <c r="E8" s="315">
        <v>49</v>
      </c>
      <c r="F8" s="315">
        <v>25</v>
      </c>
      <c r="G8" s="315">
        <v>15</v>
      </c>
      <c r="H8" s="315">
        <v>6</v>
      </c>
      <c r="I8" s="315">
        <v>6</v>
      </c>
      <c r="J8" s="315">
        <v>0</v>
      </c>
      <c r="K8" s="315">
        <v>2</v>
      </c>
      <c r="L8" s="174">
        <v>149</v>
      </c>
    </row>
    <row r="9" spans="2:12" ht="14.25" customHeight="1">
      <c r="B9" s="818"/>
      <c r="C9" s="176" t="s">
        <v>36</v>
      </c>
      <c r="D9" s="176">
        <v>4</v>
      </c>
      <c r="E9" s="176">
        <v>28</v>
      </c>
      <c r="F9" s="176">
        <v>103</v>
      </c>
      <c r="G9" s="176">
        <v>84</v>
      </c>
      <c r="H9" s="176">
        <v>81</v>
      </c>
      <c r="I9" s="176">
        <v>51</v>
      </c>
      <c r="J9" s="176">
        <v>46</v>
      </c>
      <c r="K9" s="176">
        <v>136</v>
      </c>
      <c r="L9" s="178">
        <v>533</v>
      </c>
    </row>
    <row r="10" spans="2:12" ht="14.25" customHeight="1">
      <c r="B10" s="815" t="s">
        <v>217</v>
      </c>
      <c r="C10" s="176" t="s">
        <v>35</v>
      </c>
      <c r="D10" s="176">
        <v>98</v>
      </c>
      <c r="E10" s="176">
        <v>73</v>
      </c>
      <c r="F10" s="176">
        <v>32</v>
      </c>
      <c r="G10" s="176">
        <v>33</v>
      </c>
      <c r="H10" s="176">
        <v>13</v>
      </c>
      <c r="I10" s="176">
        <v>5</v>
      </c>
      <c r="J10" s="176">
        <v>5</v>
      </c>
      <c r="K10" s="176">
        <v>5</v>
      </c>
      <c r="L10" s="178">
        <v>264</v>
      </c>
    </row>
    <row r="11" spans="2:12" ht="14.25" customHeight="1">
      <c r="B11" s="816"/>
      <c r="C11" s="176" t="s">
        <v>36</v>
      </c>
      <c r="D11" s="176">
        <v>26</v>
      </c>
      <c r="E11" s="176">
        <v>129</v>
      </c>
      <c r="F11" s="176">
        <v>423</v>
      </c>
      <c r="G11" s="176">
        <v>445</v>
      </c>
      <c r="H11" s="176">
        <v>264</v>
      </c>
      <c r="I11" s="176">
        <v>202</v>
      </c>
      <c r="J11" s="176">
        <v>143</v>
      </c>
      <c r="K11" s="176">
        <v>106</v>
      </c>
      <c r="L11" s="178">
        <v>1738</v>
      </c>
    </row>
    <row r="12" spans="2:12" ht="14.25" customHeight="1">
      <c r="B12" s="817" t="s">
        <v>218</v>
      </c>
      <c r="C12" s="176" t="s">
        <v>35</v>
      </c>
      <c r="D12" s="176">
        <v>213</v>
      </c>
      <c r="E12" s="176">
        <v>199</v>
      </c>
      <c r="F12" s="176">
        <v>78</v>
      </c>
      <c r="G12" s="176">
        <v>69</v>
      </c>
      <c r="H12" s="176">
        <v>66</v>
      </c>
      <c r="I12" s="176">
        <v>47</v>
      </c>
      <c r="J12" s="176">
        <v>40</v>
      </c>
      <c r="K12" s="176">
        <v>105</v>
      </c>
      <c r="L12" s="178">
        <v>817</v>
      </c>
    </row>
    <row r="13" spans="2:12" ht="14.25" customHeight="1">
      <c r="B13" s="818"/>
      <c r="C13" s="176" t="s">
        <v>36</v>
      </c>
      <c r="D13" s="176">
        <v>95</v>
      </c>
      <c r="E13" s="176">
        <v>268</v>
      </c>
      <c r="F13" s="176">
        <v>772</v>
      </c>
      <c r="G13" s="176">
        <v>474</v>
      </c>
      <c r="H13" s="176">
        <v>383</v>
      </c>
      <c r="I13" s="176">
        <v>256</v>
      </c>
      <c r="J13" s="176">
        <v>152</v>
      </c>
      <c r="K13" s="176">
        <v>481</v>
      </c>
      <c r="L13" s="178">
        <v>2881</v>
      </c>
    </row>
    <row r="14" spans="2:12" ht="14.25" customHeight="1">
      <c r="B14" s="817" t="s">
        <v>6</v>
      </c>
      <c r="C14" s="176" t="s">
        <v>35</v>
      </c>
      <c r="D14" s="178">
        <v>808</v>
      </c>
      <c r="E14" s="178">
        <v>856</v>
      </c>
      <c r="F14" s="178">
        <v>396</v>
      </c>
      <c r="G14" s="178">
        <v>422</v>
      </c>
      <c r="H14" s="178">
        <v>285</v>
      </c>
      <c r="I14" s="178">
        <v>136</v>
      </c>
      <c r="J14" s="178">
        <v>72</v>
      </c>
      <c r="K14" s="178">
        <v>147</v>
      </c>
      <c r="L14" s="178">
        <v>3122</v>
      </c>
    </row>
    <row r="15" spans="2:12" ht="14.25" customHeight="1">
      <c r="B15" s="818"/>
      <c r="C15" s="176" t="s">
        <v>36</v>
      </c>
      <c r="D15" s="178">
        <v>316</v>
      </c>
      <c r="E15" s="178">
        <v>1067</v>
      </c>
      <c r="F15" s="178">
        <v>3370</v>
      </c>
      <c r="G15" s="178">
        <v>2543</v>
      </c>
      <c r="H15" s="178">
        <v>1955</v>
      </c>
      <c r="I15" s="178">
        <v>1580</v>
      </c>
      <c r="J15" s="178">
        <v>1032</v>
      </c>
      <c r="K15" s="178">
        <v>1597</v>
      </c>
      <c r="L15" s="178">
        <v>13460</v>
      </c>
    </row>
    <row r="16" ht="12.75">
      <c r="B16" s="316"/>
    </row>
    <row r="17" ht="12.75">
      <c r="C17" s="163" t="s">
        <v>247</v>
      </c>
    </row>
    <row r="18" spans="2:11" ht="22.5">
      <c r="B18" s="315"/>
      <c r="C18" s="314">
        <v>2013</v>
      </c>
      <c r="D18" s="314">
        <v>2012</v>
      </c>
      <c r="E18" s="314">
        <v>2011</v>
      </c>
      <c r="F18" s="314">
        <v>2010</v>
      </c>
      <c r="G18" s="314">
        <v>2009</v>
      </c>
      <c r="H18" s="314">
        <v>2008</v>
      </c>
      <c r="I18" s="314">
        <v>2007</v>
      </c>
      <c r="J18" s="314" t="s">
        <v>32</v>
      </c>
      <c r="K18" s="314" t="s">
        <v>8</v>
      </c>
    </row>
    <row r="19" spans="2:11" ht="15" customHeight="1">
      <c r="B19" s="178" t="s">
        <v>215</v>
      </c>
      <c r="C19" s="172">
        <f aca="true" t="shared" si="0" ref="C19:J19">D4</f>
        <v>54</v>
      </c>
      <c r="D19" s="172">
        <f t="shared" si="0"/>
        <v>22</v>
      </c>
      <c r="E19" s="172">
        <f t="shared" si="0"/>
        <v>5</v>
      </c>
      <c r="F19" s="172">
        <f t="shared" si="0"/>
        <v>7</v>
      </c>
      <c r="G19" s="172">
        <f t="shared" si="0"/>
        <v>15</v>
      </c>
      <c r="H19" s="172">
        <f t="shared" si="0"/>
        <v>14</v>
      </c>
      <c r="I19" s="172">
        <f t="shared" si="0"/>
        <v>8</v>
      </c>
      <c r="J19" s="172">
        <f t="shared" si="0"/>
        <v>8</v>
      </c>
      <c r="K19" s="173">
        <f>SUM(C19:J19)</f>
        <v>133</v>
      </c>
    </row>
    <row r="20" spans="2:11" ht="15" customHeight="1">
      <c r="B20" s="177" t="s">
        <v>216</v>
      </c>
      <c r="C20" s="172">
        <f aca="true" t="shared" si="1" ref="C20:J20">D6</f>
        <v>397</v>
      </c>
      <c r="D20" s="172">
        <f t="shared" si="1"/>
        <v>513</v>
      </c>
      <c r="E20" s="172">
        <f t="shared" si="1"/>
        <v>256</v>
      </c>
      <c r="F20" s="172">
        <f t="shared" si="1"/>
        <v>298</v>
      </c>
      <c r="G20" s="172">
        <f t="shared" si="1"/>
        <v>185</v>
      </c>
      <c r="H20" s="172">
        <f t="shared" si="1"/>
        <v>64</v>
      </c>
      <c r="I20" s="172">
        <f t="shared" si="1"/>
        <v>19</v>
      </c>
      <c r="J20" s="172">
        <f t="shared" si="1"/>
        <v>27</v>
      </c>
      <c r="K20" s="173">
        <f>SUM(C20:J20)</f>
        <v>1759</v>
      </c>
    </row>
    <row r="21" spans="2:11" ht="25.5" customHeight="1">
      <c r="B21" s="583" t="s">
        <v>474</v>
      </c>
      <c r="C21" s="172">
        <f aca="true" t="shared" si="2" ref="C21:I21">D8</f>
        <v>46</v>
      </c>
      <c r="D21" s="172">
        <f t="shared" si="2"/>
        <v>49</v>
      </c>
      <c r="E21" s="172">
        <f t="shared" si="2"/>
        <v>25</v>
      </c>
      <c r="F21" s="172">
        <f t="shared" si="2"/>
        <v>15</v>
      </c>
      <c r="G21" s="172">
        <f t="shared" si="2"/>
        <v>6</v>
      </c>
      <c r="H21" s="172">
        <f t="shared" si="2"/>
        <v>6</v>
      </c>
      <c r="I21" s="172">
        <f t="shared" si="2"/>
        <v>0</v>
      </c>
      <c r="J21" s="172">
        <f>K8</f>
        <v>2</v>
      </c>
      <c r="K21" s="173">
        <f>SUM(C21:J21)</f>
        <v>149</v>
      </c>
    </row>
    <row r="22" spans="2:11" ht="15" customHeight="1">
      <c r="B22" s="178" t="s">
        <v>217</v>
      </c>
      <c r="C22" s="172">
        <f aca="true" t="shared" si="3" ref="C22:J22">D10</f>
        <v>98</v>
      </c>
      <c r="D22" s="172">
        <f t="shared" si="3"/>
        <v>73</v>
      </c>
      <c r="E22" s="172">
        <f t="shared" si="3"/>
        <v>32</v>
      </c>
      <c r="F22" s="172">
        <f t="shared" si="3"/>
        <v>33</v>
      </c>
      <c r="G22" s="172">
        <f t="shared" si="3"/>
        <v>13</v>
      </c>
      <c r="H22" s="172">
        <f t="shared" si="3"/>
        <v>5</v>
      </c>
      <c r="I22" s="172">
        <f t="shared" si="3"/>
        <v>5</v>
      </c>
      <c r="J22" s="172">
        <f t="shared" si="3"/>
        <v>5</v>
      </c>
      <c r="K22" s="173">
        <f>SUM(C22:J22)</f>
        <v>264</v>
      </c>
    </row>
    <row r="23" spans="2:11" ht="15" customHeight="1">
      <c r="B23" s="177" t="s">
        <v>218</v>
      </c>
      <c r="C23" s="172">
        <f aca="true" t="shared" si="4" ref="C23:J23">D12</f>
        <v>213</v>
      </c>
      <c r="D23" s="172">
        <f t="shared" si="4"/>
        <v>199</v>
      </c>
      <c r="E23" s="172">
        <f t="shared" si="4"/>
        <v>78</v>
      </c>
      <c r="F23" s="172">
        <f t="shared" si="4"/>
        <v>69</v>
      </c>
      <c r="G23" s="172">
        <f t="shared" si="4"/>
        <v>66</v>
      </c>
      <c r="H23" s="172">
        <f t="shared" si="4"/>
        <v>47</v>
      </c>
      <c r="I23" s="172">
        <f t="shared" si="4"/>
        <v>40</v>
      </c>
      <c r="J23" s="172">
        <f t="shared" si="4"/>
        <v>105</v>
      </c>
      <c r="K23" s="173">
        <f>SUM(C23:J23)</f>
        <v>817</v>
      </c>
    </row>
    <row r="24" spans="2:11" ht="15" customHeight="1">
      <c r="B24" s="74" t="s">
        <v>8</v>
      </c>
      <c r="C24" s="174">
        <f aca="true" t="shared" si="5" ref="C24:K24">SUM(C19:C23)</f>
        <v>808</v>
      </c>
      <c r="D24" s="174">
        <f t="shared" si="5"/>
        <v>856</v>
      </c>
      <c r="E24" s="174">
        <f t="shared" si="5"/>
        <v>396</v>
      </c>
      <c r="F24" s="174">
        <f t="shared" si="5"/>
        <v>422</v>
      </c>
      <c r="G24" s="174">
        <f t="shared" si="5"/>
        <v>285</v>
      </c>
      <c r="H24" s="174">
        <f t="shared" si="5"/>
        <v>136</v>
      </c>
      <c r="I24" s="174">
        <f t="shared" si="5"/>
        <v>72</v>
      </c>
      <c r="J24" s="174">
        <f t="shared" si="5"/>
        <v>147</v>
      </c>
      <c r="K24" s="174">
        <f t="shared" si="5"/>
        <v>3122</v>
      </c>
    </row>
    <row r="27" ht="12.75">
      <c r="C27" s="163" t="s">
        <v>248</v>
      </c>
    </row>
    <row r="28" spans="2:11" ht="22.5">
      <c r="B28" s="315"/>
      <c r="C28" s="314">
        <v>2013</v>
      </c>
      <c r="D28" s="314">
        <v>2012</v>
      </c>
      <c r="E28" s="314">
        <v>2011</v>
      </c>
      <c r="F28" s="314">
        <v>2010</v>
      </c>
      <c r="G28" s="314">
        <v>2009</v>
      </c>
      <c r="H28" s="314">
        <v>2008</v>
      </c>
      <c r="I28" s="314">
        <v>2007</v>
      </c>
      <c r="J28" s="314" t="s">
        <v>32</v>
      </c>
      <c r="K28" s="314" t="s">
        <v>8</v>
      </c>
    </row>
    <row r="29" spans="2:11" ht="12.75">
      <c r="B29" s="178" t="s">
        <v>215</v>
      </c>
      <c r="C29" s="172">
        <f aca="true" t="shared" si="6" ref="C29:J29">D5</f>
        <v>19</v>
      </c>
      <c r="D29" s="172">
        <f t="shared" si="6"/>
        <v>75</v>
      </c>
      <c r="E29" s="172">
        <f t="shared" si="6"/>
        <v>280</v>
      </c>
      <c r="F29" s="172">
        <f t="shared" si="6"/>
        <v>219</v>
      </c>
      <c r="G29" s="172">
        <f t="shared" si="6"/>
        <v>165</v>
      </c>
      <c r="H29" s="172">
        <f t="shared" si="6"/>
        <v>122</v>
      </c>
      <c r="I29" s="172">
        <f t="shared" si="6"/>
        <v>62</v>
      </c>
      <c r="J29" s="172">
        <f t="shared" si="6"/>
        <v>145</v>
      </c>
      <c r="K29" s="173">
        <f>SUM(C29:J29)</f>
        <v>1087</v>
      </c>
    </row>
    <row r="30" spans="2:11" ht="12.75">
      <c r="B30" s="177" t="s">
        <v>216</v>
      </c>
      <c r="C30" s="172">
        <f aca="true" t="shared" si="7" ref="C30:J30">D7</f>
        <v>172</v>
      </c>
      <c r="D30" s="172">
        <f t="shared" si="7"/>
        <v>567</v>
      </c>
      <c r="E30" s="172">
        <f t="shared" si="7"/>
        <v>1792</v>
      </c>
      <c r="F30" s="172">
        <f t="shared" si="7"/>
        <v>1321</v>
      </c>
      <c r="G30" s="172">
        <f t="shared" si="7"/>
        <v>1062</v>
      </c>
      <c r="H30" s="172">
        <f t="shared" si="7"/>
        <v>949</v>
      </c>
      <c r="I30" s="172">
        <f t="shared" si="7"/>
        <v>629</v>
      </c>
      <c r="J30" s="172">
        <f t="shared" si="7"/>
        <v>729</v>
      </c>
      <c r="K30" s="173">
        <f>SUM(C30:J30)</f>
        <v>7221</v>
      </c>
    </row>
    <row r="31" spans="2:11" ht="22.5">
      <c r="B31" s="177" t="s">
        <v>474</v>
      </c>
      <c r="C31" s="172">
        <f aca="true" t="shared" si="8" ref="C31:I31">D9</f>
        <v>4</v>
      </c>
      <c r="D31" s="172">
        <f t="shared" si="8"/>
        <v>28</v>
      </c>
      <c r="E31" s="172">
        <f t="shared" si="8"/>
        <v>103</v>
      </c>
      <c r="F31" s="172">
        <f t="shared" si="8"/>
        <v>84</v>
      </c>
      <c r="G31" s="172">
        <f t="shared" si="8"/>
        <v>81</v>
      </c>
      <c r="H31" s="172">
        <f t="shared" si="8"/>
        <v>51</v>
      </c>
      <c r="I31" s="172">
        <f t="shared" si="8"/>
        <v>46</v>
      </c>
      <c r="J31" s="172">
        <f>K9</f>
        <v>136</v>
      </c>
      <c r="K31" s="173">
        <f>SUM(C31:J31)</f>
        <v>533</v>
      </c>
    </row>
    <row r="32" spans="2:11" ht="12.75">
      <c r="B32" s="178" t="s">
        <v>217</v>
      </c>
      <c r="C32" s="172">
        <f aca="true" t="shared" si="9" ref="C32:J32">D11</f>
        <v>26</v>
      </c>
      <c r="D32" s="172">
        <f t="shared" si="9"/>
        <v>129</v>
      </c>
      <c r="E32" s="172">
        <f t="shared" si="9"/>
        <v>423</v>
      </c>
      <c r="F32" s="172">
        <f t="shared" si="9"/>
        <v>445</v>
      </c>
      <c r="G32" s="172">
        <f t="shared" si="9"/>
        <v>264</v>
      </c>
      <c r="H32" s="172">
        <f t="shared" si="9"/>
        <v>202</v>
      </c>
      <c r="I32" s="172">
        <f t="shared" si="9"/>
        <v>143</v>
      </c>
      <c r="J32" s="172">
        <f t="shared" si="9"/>
        <v>106</v>
      </c>
      <c r="K32" s="173">
        <f>SUM(C32:J32)</f>
        <v>1738</v>
      </c>
    </row>
    <row r="33" spans="2:11" ht="12.75">
      <c r="B33" s="177" t="s">
        <v>218</v>
      </c>
      <c r="C33" s="172">
        <f aca="true" t="shared" si="10" ref="C33:J33">D13</f>
        <v>95</v>
      </c>
      <c r="D33" s="172">
        <f t="shared" si="10"/>
        <v>268</v>
      </c>
      <c r="E33" s="172">
        <f t="shared" si="10"/>
        <v>772</v>
      </c>
      <c r="F33" s="172">
        <f t="shared" si="10"/>
        <v>474</v>
      </c>
      <c r="G33" s="172">
        <f t="shared" si="10"/>
        <v>383</v>
      </c>
      <c r="H33" s="172">
        <f t="shared" si="10"/>
        <v>256</v>
      </c>
      <c r="I33" s="172">
        <f t="shared" si="10"/>
        <v>152</v>
      </c>
      <c r="J33" s="172">
        <f t="shared" si="10"/>
        <v>481</v>
      </c>
      <c r="K33" s="173">
        <f>SUM(C33:J33)</f>
        <v>2881</v>
      </c>
    </row>
    <row r="34" spans="2:11" ht="12.75">
      <c r="B34" s="74" t="s">
        <v>8</v>
      </c>
      <c r="C34" s="174">
        <f aca="true" t="shared" si="11" ref="C34:K34">SUM(C29:C33)</f>
        <v>316</v>
      </c>
      <c r="D34" s="174">
        <f t="shared" si="11"/>
        <v>1067</v>
      </c>
      <c r="E34" s="174">
        <f t="shared" si="11"/>
        <v>3370</v>
      </c>
      <c r="F34" s="174">
        <f t="shared" si="11"/>
        <v>2543</v>
      </c>
      <c r="G34" s="174">
        <f t="shared" si="11"/>
        <v>1955</v>
      </c>
      <c r="H34" s="174">
        <f t="shared" si="11"/>
        <v>1580</v>
      </c>
      <c r="I34" s="174">
        <f t="shared" si="11"/>
        <v>1032</v>
      </c>
      <c r="J34" s="174">
        <f t="shared" si="11"/>
        <v>1597</v>
      </c>
      <c r="K34" s="174">
        <f t="shared" si="11"/>
        <v>13460</v>
      </c>
    </row>
  </sheetData>
  <sheetProtection/>
  <mergeCells count="6">
    <mergeCell ref="B4:B5"/>
    <mergeCell ref="B6:B7"/>
    <mergeCell ref="B8:B9"/>
    <mergeCell ref="B10:B11"/>
    <mergeCell ref="B12:B13"/>
    <mergeCell ref="B14:B15"/>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92D050"/>
  </sheetPr>
  <dimension ref="A1:G82"/>
  <sheetViews>
    <sheetView zoomScale="80" zoomScaleNormal="80" zoomScaleSheetLayoutView="80" zoomScalePageLayoutView="0" workbookViewId="0" topLeftCell="A46">
      <selection activeCell="O83" sqref="O83"/>
    </sheetView>
  </sheetViews>
  <sheetFormatPr defaultColWidth="9.140625" defaultRowHeight="12.75"/>
  <cols>
    <col min="1" max="1" width="34.140625" style="25" customWidth="1"/>
    <col min="2" max="7" width="14.7109375" style="25" customWidth="1"/>
    <col min="8" max="16384" width="9.140625" style="25" customWidth="1"/>
  </cols>
  <sheetData>
    <row r="1" ht="15.75">
      <c r="A1" s="33" t="s">
        <v>379</v>
      </c>
    </row>
    <row r="2" ht="15.75">
      <c r="A2" s="33"/>
    </row>
    <row r="3" spans="1:7" ht="18.75" customHeight="1">
      <c r="A3" s="28"/>
      <c r="B3" s="36" t="s">
        <v>61</v>
      </c>
      <c r="C3" s="36" t="s">
        <v>62</v>
      </c>
      <c r="D3" s="36" t="s">
        <v>63</v>
      </c>
      <c r="E3" s="36" t="s">
        <v>64</v>
      </c>
      <c r="F3" s="36" t="s">
        <v>65</v>
      </c>
      <c r="G3" s="36" t="s">
        <v>8</v>
      </c>
    </row>
    <row r="4" spans="1:7" ht="21" customHeight="1">
      <c r="A4" s="15" t="s">
        <v>68</v>
      </c>
      <c r="B4" s="442">
        <v>0.944254835039818</v>
      </c>
      <c r="C4" s="442">
        <v>0.04436860068259386</v>
      </c>
      <c r="D4" s="442">
        <v>0.004550625711035267</v>
      </c>
      <c r="E4" s="442">
        <v>0.003697383390216155</v>
      </c>
      <c r="F4" s="442">
        <v>0.0031285551763367463</v>
      </c>
      <c r="G4" s="441">
        <v>1</v>
      </c>
    </row>
    <row r="6" spans="1:5" ht="36.75" customHeight="1">
      <c r="A6" s="820" t="s">
        <v>380</v>
      </c>
      <c r="B6" s="820"/>
      <c r="C6" s="820"/>
      <c r="D6" s="820"/>
      <c r="E6" s="820"/>
    </row>
    <row r="8" ht="15">
      <c r="A8" s="48" t="s">
        <v>214</v>
      </c>
    </row>
    <row r="9" spans="1:5" ht="18.75" customHeight="1">
      <c r="A9" s="28" t="s">
        <v>56</v>
      </c>
      <c r="B9" s="36" t="s">
        <v>66</v>
      </c>
      <c r="C9" s="36" t="s">
        <v>67</v>
      </c>
      <c r="D9" s="36" t="s">
        <v>65</v>
      </c>
      <c r="E9" s="36" t="s">
        <v>8</v>
      </c>
    </row>
    <row r="10" spans="1:5" ht="19.5" customHeight="1">
      <c r="A10" s="444" t="s">
        <v>132</v>
      </c>
      <c r="B10" s="442">
        <v>1</v>
      </c>
      <c r="C10" s="442">
        <v>0</v>
      </c>
      <c r="D10" s="442">
        <v>0</v>
      </c>
      <c r="E10" s="443">
        <v>1</v>
      </c>
    </row>
    <row r="11" spans="1:5" ht="19.5" customHeight="1">
      <c r="A11" s="444" t="s">
        <v>133</v>
      </c>
      <c r="B11" s="442">
        <v>0.5230244457077885</v>
      </c>
      <c r="C11" s="442">
        <v>0.3786242183058556</v>
      </c>
      <c r="D11" s="442">
        <v>0.09835133598635588</v>
      </c>
      <c r="E11" s="443">
        <v>1</v>
      </c>
    </row>
    <row r="12" spans="1:5" ht="19.5" customHeight="1">
      <c r="A12" s="444" t="s">
        <v>134</v>
      </c>
      <c r="B12" s="442">
        <v>1</v>
      </c>
      <c r="C12" s="442">
        <v>0</v>
      </c>
      <c r="D12" s="442">
        <v>0</v>
      </c>
      <c r="E12" s="443">
        <v>1</v>
      </c>
    </row>
    <row r="13" spans="1:5" ht="19.5" customHeight="1">
      <c r="A13" s="444" t="s">
        <v>135</v>
      </c>
      <c r="B13" s="442">
        <v>1</v>
      </c>
      <c r="C13" s="442">
        <v>0</v>
      </c>
      <c r="D13" s="442">
        <v>0</v>
      </c>
      <c r="E13" s="443">
        <v>1</v>
      </c>
    </row>
    <row r="14" spans="1:5" ht="19.5" customHeight="1">
      <c r="A14" s="444" t="s">
        <v>136</v>
      </c>
      <c r="B14" s="442">
        <v>0.9975520195838433</v>
      </c>
      <c r="C14" s="442">
        <v>0.0024479804161566705</v>
      </c>
      <c r="D14" s="442">
        <v>0</v>
      </c>
      <c r="E14" s="443">
        <v>1</v>
      </c>
    </row>
    <row r="15" ht="15">
      <c r="A15" s="48" t="s">
        <v>360</v>
      </c>
    </row>
    <row r="16" spans="1:5" ht="18.75" customHeight="1">
      <c r="A16" s="28" t="s">
        <v>56</v>
      </c>
      <c r="B16" s="36" t="s">
        <v>61</v>
      </c>
      <c r="C16" s="36" t="s">
        <v>62</v>
      </c>
      <c r="D16" s="36" t="s">
        <v>69</v>
      </c>
      <c r="E16" s="36" t="s">
        <v>8</v>
      </c>
    </row>
    <row r="17" spans="1:5" ht="16.5" customHeight="1">
      <c r="A17" s="38" t="s">
        <v>199</v>
      </c>
      <c r="B17" s="442">
        <v>0.9954802259887006</v>
      </c>
      <c r="C17" s="442">
        <v>0.004519774011299435</v>
      </c>
      <c r="D17" s="442">
        <v>0</v>
      </c>
      <c r="E17" s="46">
        <v>1</v>
      </c>
    </row>
    <row r="18" spans="1:5" ht="16.5" customHeight="1">
      <c r="A18" s="37" t="s">
        <v>202</v>
      </c>
      <c r="B18" s="442"/>
      <c r="C18" s="442"/>
      <c r="D18" s="442"/>
      <c r="E18" s="46">
        <v>1</v>
      </c>
    </row>
    <row r="19" spans="1:5" ht="16.5" customHeight="1">
      <c r="A19" s="38" t="s">
        <v>142</v>
      </c>
      <c r="B19" s="442">
        <v>0.8522813978330536</v>
      </c>
      <c r="C19" s="442">
        <v>0.04929040134289638</v>
      </c>
      <c r="D19" s="442">
        <v>0.09842820082405006</v>
      </c>
      <c r="E19" s="46">
        <v>1</v>
      </c>
    </row>
    <row r="20" spans="1:5" ht="16.5" customHeight="1">
      <c r="A20" s="37" t="s">
        <v>203</v>
      </c>
      <c r="B20" s="442"/>
      <c r="C20" s="442"/>
      <c r="D20" s="442"/>
      <c r="E20" s="46">
        <v>1</v>
      </c>
    </row>
    <row r="21" spans="1:5" ht="16.5" customHeight="1">
      <c r="A21" s="37" t="s">
        <v>204</v>
      </c>
      <c r="B21" s="442">
        <v>0.08108108108108109</v>
      </c>
      <c r="C21" s="442">
        <v>0.02702702702702703</v>
      </c>
      <c r="D21" s="442">
        <v>0.8918918918918919</v>
      </c>
      <c r="E21" s="46">
        <v>1</v>
      </c>
    </row>
    <row r="22" spans="1:5" ht="16.5" customHeight="1">
      <c r="A22" s="37" t="s">
        <v>205</v>
      </c>
      <c r="B22" s="442"/>
      <c r="C22" s="442"/>
      <c r="D22" s="442"/>
      <c r="E22" s="46">
        <v>1</v>
      </c>
    </row>
    <row r="23" spans="1:5" ht="16.5" customHeight="1">
      <c r="A23" s="37" t="s">
        <v>206</v>
      </c>
      <c r="B23" s="442"/>
      <c r="C23" s="442"/>
      <c r="D23" s="442"/>
      <c r="E23" s="46">
        <v>1</v>
      </c>
    </row>
    <row r="24" spans="1:5" ht="16.5" customHeight="1">
      <c r="A24" s="37" t="s">
        <v>207</v>
      </c>
      <c r="B24" s="442"/>
      <c r="C24" s="442"/>
      <c r="D24" s="442"/>
      <c r="E24" s="46">
        <v>1</v>
      </c>
    </row>
    <row r="25" spans="1:5" ht="16.5" customHeight="1">
      <c r="A25" s="37" t="s">
        <v>208</v>
      </c>
      <c r="B25" s="442"/>
      <c r="C25" s="442"/>
      <c r="D25" s="442"/>
      <c r="E25" s="46">
        <v>1</v>
      </c>
    </row>
    <row r="26" spans="1:5" ht="16.5" customHeight="1">
      <c r="A26" s="37" t="s">
        <v>209</v>
      </c>
      <c r="B26" s="442"/>
      <c r="C26" s="442"/>
      <c r="D26" s="442"/>
      <c r="E26" s="46">
        <v>1</v>
      </c>
    </row>
    <row r="27" spans="1:5" ht="16.5" customHeight="1">
      <c r="A27" s="38" t="s">
        <v>151</v>
      </c>
      <c r="B27" s="442">
        <v>1</v>
      </c>
      <c r="C27" s="442">
        <v>0</v>
      </c>
      <c r="D27" s="442">
        <v>0</v>
      </c>
      <c r="E27" s="46">
        <v>1</v>
      </c>
    </row>
    <row r="28" spans="1:5" ht="16.5" customHeight="1">
      <c r="A28" s="38" t="s">
        <v>152</v>
      </c>
      <c r="B28" s="442">
        <v>0.9981829194427619</v>
      </c>
      <c r="C28" s="442">
        <v>0.0018170805572380376</v>
      </c>
      <c r="D28" s="442">
        <v>0</v>
      </c>
      <c r="E28" s="46">
        <v>1</v>
      </c>
    </row>
    <row r="29" spans="1:5" ht="16.5" customHeight="1">
      <c r="A29" s="15" t="s">
        <v>210</v>
      </c>
      <c r="B29" s="442">
        <v>1</v>
      </c>
      <c r="C29" s="442">
        <v>0</v>
      </c>
      <c r="D29" s="442">
        <v>0</v>
      </c>
      <c r="E29" s="46">
        <v>1</v>
      </c>
    </row>
    <row r="30" spans="1:5" ht="16.5" customHeight="1">
      <c r="A30" s="49" t="s">
        <v>155</v>
      </c>
      <c r="B30" s="442">
        <v>0.9970748015043878</v>
      </c>
      <c r="C30" s="442">
        <v>0.0004178854993731718</v>
      </c>
      <c r="D30" s="442">
        <v>0.0025073129962390303</v>
      </c>
      <c r="E30" s="46">
        <v>1</v>
      </c>
    </row>
    <row r="31" spans="1:5" ht="16.5" customHeight="1">
      <c r="A31" s="37" t="s">
        <v>211</v>
      </c>
      <c r="B31" s="445"/>
      <c r="C31" s="445"/>
      <c r="D31" s="445"/>
      <c r="E31" s="46">
        <v>1</v>
      </c>
    </row>
    <row r="32" spans="1:5" ht="16.5" customHeight="1">
      <c r="A32" s="642" t="s">
        <v>212</v>
      </c>
      <c r="B32" s="442"/>
      <c r="C32" s="442"/>
      <c r="D32" s="442"/>
      <c r="E32" s="46">
        <v>1</v>
      </c>
    </row>
    <row r="33" spans="1:5" ht="16.5" customHeight="1">
      <c r="A33" s="37" t="s">
        <v>213</v>
      </c>
      <c r="B33" s="442"/>
      <c r="C33" s="442"/>
      <c r="D33" s="442"/>
      <c r="E33" s="46">
        <v>1</v>
      </c>
    </row>
    <row r="34" spans="2:4" ht="12.75">
      <c r="B34" s="47"/>
      <c r="C34" s="47"/>
      <c r="D34" s="47"/>
    </row>
    <row r="37" spans="1:6" ht="30.75" customHeight="1">
      <c r="A37" s="820" t="s">
        <v>381</v>
      </c>
      <c r="B37" s="820"/>
      <c r="C37" s="820"/>
      <c r="D37" s="820"/>
      <c r="E37" s="820"/>
      <c r="F37" s="820"/>
    </row>
    <row r="38" ht="12.75"/>
    <row r="39" spans="1:6" ht="35.25" customHeight="1">
      <c r="A39" s="28" t="s">
        <v>200</v>
      </c>
      <c r="B39" s="36" t="s">
        <v>70</v>
      </c>
      <c r="C39" s="36" t="s">
        <v>71</v>
      </c>
      <c r="D39" s="36" t="s">
        <v>62</v>
      </c>
      <c r="E39" s="36" t="s">
        <v>69</v>
      </c>
      <c r="F39" s="36" t="s">
        <v>8</v>
      </c>
    </row>
    <row r="40" spans="1:6" ht="22.5" customHeight="1">
      <c r="A40" s="28" t="s">
        <v>215</v>
      </c>
      <c r="B40" s="16"/>
      <c r="C40" s="16"/>
      <c r="D40" s="16"/>
      <c r="E40" s="16"/>
      <c r="F40" s="16"/>
    </row>
    <row r="41" spans="1:6" ht="15" customHeight="1">
      <c r="A41" s="19" t="s">
        <v>161</v>
      </c>
      <c r="B41" s="46">
        <v>1</v>
      </c>
      <c r="C41" s="46">
        <v>0</v>
      </c>
      <c r="D41" s="46">
        <v>0</v>
      </c>
      <c r="E41" s="46">
        <v>0</v>
      </c>
      <c r="F41" s="46">
        <v>1</v>
      </c>
    </row>
    <row r="42" spans="1:6" ht="15" customHeight="1">
      <c r="A42" s="19" t="s">
        <v>162</v>
      </c>
      <c r="B42" s="46">
        <v>0.2976190476190476</v>
      </c>
      <c r="C42" s="46">
        <v>0.27380952380952384</v>
      </c>
      <c r="D42" s="46">
        <v>0.35714285714285715</v>
      </c>
      <c r="E42" s="46">
        <v>0.07142857142857142</v>
      </c>
      <c r="F42" s="46">
        <v>1</v>
      </c>
    </row>
    <row r="43" spans="1:6" ht="21" customHeight="1">
      <c r="A43" s="641" t="s">
        <v>163</v>
      </c>
      <c r="B43" s="46">
        <v>0.5373134328358209</v>
      </c>
      <c r="C43" s="46">
        <v>0.19402985074626866</v>
      </c>
      <c r="D43" s="46">
        <v>0.2537313432835821</v>
      </c>
      <c r="E43" s="46">
        <v>0.014925373134328358</v>
      </c>
      <c r="F43" s="46">
        <v>1</v>
      </c>
    </row>
    <row r="44" spans="1:6" ht="15" customHeight="1">
      <c r="A44" s="50" t="s">
        <v>164</v>
      </c>
      <c r="B44" s="46"/>
      <c r="C44" s="46"/>
      <c r="D44" s="46"/>
      <c r="E44" s="46"/>
      <c r="F44" s="46"/>
    </row>
    <row r="45" spans="1:6" ht="15" customHeight="1">
      <c r="A45" s="641" t="s">
        <v>165</v>
      </c>
      <c r="B45" s="46">
        <v>0.1728395061728395</v>
      </c>
      <c r="C45" s="46">
        <v>0.030864197530864196</v>
      </c>
      <c r="D45" s="46">
        <v>0.05555555555555555</v>
      </c>
      <c r="E45" s="46">
        <v>0.7407407407407407</v>
      </c>
      <c r="F45" s="46">
        <v>1</v>
      </c>
    </row>
    <row r="46" spans="1:6" ht="15" customHeight="1">
      <c r="A46" s="19" t="s">
        <v>166</v>
      </c>
      <c r="B46" s="46">
        <v>0.5510204081632653</v>
      </c>
      <c r="C46" s="46">
        <v>0.05102040816326531</v>
      </c>
      <c r="D46" s="46">
        <v>0.2653061224489796</v>
      </c>
      <c r="E46" s="46">
        <v>0.1326530612244898</v>
      </c>
      <c r="F46" s="46">
        <v>1</v>
      </c>
    </row>
    <row r="47" spans="1:6" ht="15" customHeight="1">
      <c r="A47" s="28" t="s">
        <v>216</v>
      </c>
      <c r="B47" s="46"/>
      <c r="C47" s="46"/>
      <c r="D47" s="46"/>
      <c r="E47" s="46"/>
      <c r="F47" s="46"/>
    </row>
    <row r="48" spans="1:6" ht="15" customHeight="1">
      <c r="A48" s="19" t="s">
        <v>169</v>
      </c>
      <c r="B48" s="46">
        <v>0.26350606394707826</v>
      </c>
      <c r="C48" s="46">
        <v>0.20507166482910694</v>
      </c>
      <c r="D48" s="46">
        <v>0.16979051819184124</v>
      </c>
      <c r="E48" s="46">
        <v>0.36163175303197354</v>
      </c>
      <c r="F48" s="46">
        <v>1</v>
      </c>
    </row>
    <row r="49" spans="1:6" ht="15" customHeight="1">
      <c r="A49" s="19" t="s">
        <v>170</v>
      </c>
      <c r="B49" s="46">
        <v>0.23076923076923078</v>
      </c>
      <c r="C49" s="46">
        <v>0.017094017094017096</v>
      </c>
      <c r="D49" s="46">
        <v>0.042735042735042736</v>
      </c>
      <c r="E49" s="46">
        <v>0.7094017094017094</v>
      </c>
      <c r="F49" s="46">
        <v>1</v>
      </c>
    </row>
    <row r="50" spans="1:6" ht="15" customHeight="1">
      <c r="A50" s="19" t="s">
        <v>171</v>
      </c>
      <c r="B50" s="46">
        <v>0.048672566371681415</v>
      </c>
      <c r="C50" s="46">
        <v>0.022123893805309734</v>
      </c>
      <c r="D50" s="46">
        <v>0.03982300884955752</v>
      </c>
      <c r="E50" s="46">
        <v>0.8893805309734514</v>
      </c>
      <c r="F50" s="46">
        <v>1</v>
      </c>
    </row>
    <row r="51" spans="1:6" ht="15" customHeight="1">
      <c r="A51" s="19" t="s">
        <v>172</v>
      </c>
      <c r="B51" s="46">
        <v>0.6398601398601399</v>
      </c>
      <c r="C51" s="46">
        <v>0.34965034965034963</v>
      </c>
      <c r="D51" s="46">
        <v>0.01048951048951049</v>
      </c>
      <c r="E51" s="46">
        <v>0</v>
      </c>
      <c r="F51" s="46">
        <v>1</v>
      </c>
    </row>
    <row r="52" spans="1:6" ht="15" customHeight="1">
      <c r="A52" s="19" t="s">
        <v>173</v>
      </c>
      <c r="B52" s="46">
        <v>1</v>
      </c>
      <c r="C52" s="46">
        <v>0</v>
      </c>
      <c r="D52" s="46">
        <v>0</v>
      </c>
      <c r="E52" s="46">
        <v>0</v>
      </c>
      <c r="F52" s="46">
        <v>1</v>
      </c>
    </row>
    <row r="53" spans="1:6" ht="15" customHeight="1">
      <c r="A53" s="19" t="s">
        <v>168</v>
      </c>
      <c r="B53" s="46">
        <v>0.29155704376943314</v>
      </c>
      <c r="C53" s="46">
        <v>0.1047596268835207</v>
      </c>
      <c r="D53" s="46">
        <v>0.19492944271705334</v>
      </c>
      <c r="E53" s="46">
        <v>0.40875388662999285</v>
      </c>
      <c r="F53" s="46">
        <v>1</v>
      </c>
    </row>
    <row r="54" spans="1:6" ht="15" customHeight="1">
      <c r="A54" s="50" t="s">
        <v>174</v>
      </c>
      <c r="B54" s="46"/>
      <c r="C54" s="46"/>
      <c r="D54" s="46"/>
      <c r="E54" s="46"/>
      <c r="F54" s="46"/>
    </row>
    <row r="55" spans="1:6" ht="15" customHeight="1">
      <c r="A55" s="19" t="s">
        <v>175</v>
      </c>
      <c r="B55" s="46">
        <v>0.39090909090909093</v>
      </c>
      <c r="C55" s="46">
        <v>0.2818181818181818</v>
      </c>
      <c r="D55" s="46">
        <v>0.3</v>
      </c>
      <c r="E55" s="46">
        <v>0.02727272727272727</v>
      </c>
      <c r="F55" s="46">
        <v>1</v>
      </c>
    </row>
    <row r="56" spans="1:6" ht="15" customHeight="1">
      <c r="A56" s="19" t="s">
        <v>176</v>
      </c>
      <c r="B56" s="46">
        <v>0.4301675977653631</v>
      </c>
      <c r="C56" s="46">
        <v>0.07541899441340782</v>
      </c>
      <c r="D56" s="46">
        <v>0.08798882681564246</v>
      </c>
      <c r="E56" s="46">
        <v>0.4064245810055866</v>
      </c>
      <c r="F56" s="46">
        <v>1</v>
      </c>
    </row>
    <row r="57" spans="1:6" ht="15" customHeight="1">
      <c r="A57" s="19" t="s">
        <v>177</v>
      </c>
      <c r="B57" s="46">
        <v>0.5333333333333333</v>
      </c>
      <c r="C57" s="46">
        <v>0.12444444444444444</v>
      </c>
      <c r="D57" s="46">
        <v>0.052222222222222225</v>
      </c>
      <c r="E57" s="46">
        <v>0.29</v>
      </c>
      <c r="F57" s="46">
        <v>1</v>
      </c>
    </row>
    <row r="58" spans="1:6" ht="15" customHeight="1">
      <c r="A58" s="19" t="s">
        <v>178</v>
      </c>
      <c r="B58" s="46">
        <v>1</v>
      </c>
      <c r="C58" s="46">
        <v>0</v>
      </c>
      <c r="D58" s="46">
        <v>0</v>
      </c>
      <c r="E58" s="46">
        <v>0</v>
      </c>
      <c r="F58" s="46">
        <v>1</v>
      </c>
    </row>
    <row r="59" spans="1:6" ht="15" customHeight="1">
      <c r="A59" s="19" t="s">
        <v>179</v>
      </c>
      <c r="B59" s="46">
        <v>0.3157894736842105</v>
      </c>
      <c r="C59" s="46">
        <v>0.19298245614035087</v>
      </c>
      <c r="D59" s="46">
        <v>0.49122807017543857</v>
      </c>
      <c r="E59" s="46">
        <v>0</v>
      </c>
      <c r="F59" s="46">
        <v>1</v>
      </c>
    </row>
    <row r="60" spans="1:6" ht="15" customHeight="1">
      <c r="A60" s="640" t="s">
        <v>180</v>
      </c>
      <c r="B60" s="46"/>
      <c r="C60" s="46"/>
      <c r="D60" s="46"/>
      <c r="E60" s="46"/>
      <c r="F60" s="46"/>
    </row>
    <row r="61" spans="1:6" ht="15" customHeight="1">
      <c r="A61" s="28" t="s">
        <v>217</v>
      </c>
      <c r="B61" s="46"/>
      <c r="C61" s="46"/>
      <c r="D61" s="46"/>
      <c r="E61" s="46"/>
      <c r="F61" s="46"/>
    </row>
    <row r="62" spans="1:6" ht="15" customHeight="1">
      <c r="A62" s="19" t="s">
        <v>186</v>
      </c>
      <c r="B62" s="46">
        <v>0.7033898305084746</v>
      </c>
      <c r="C62" s="46">
        <v>0</v>
      </c>
      <c r="D62" s="46">
        <v>0.05084745762711865</v>
      </c>
      <c r="E62" s="46">
        <v>0.2457627118644068</v>
      </c>
      <c r="F62" s="46">
        <v>1</v>
      </c>
    </row>
    <row r="63" spans="1:6" ht="15" customHeight="1">
      <c r="A63" s="19" t="s">
        <v>187</v>
      </c>
      <c r="B63" s="46">
        <v>1</v>
      </c>
      <c r="C63" s="46">
        <v>0</v>
      </c>
      <c r="D63" s="46">
        <v>0</v>
      </c>
      <c r="E63" s="46">
        <v>0</v>
      </c>
      <c r="F63" s="46">
        <v>1</v>
      </c>
    </row>
    <row r="64" spans="1:6" ht="15" customHeight="1">
      <c r="A64" s="19" t="s">
        <v>182</v>
      </c>
      <c r="B64" s="46">
        <v>0.5467625899280576</v>
      </c>
      <c r="C64" s="46">
        <v>0.1079136690647482</v>
      </c>
      <c r="D64" s="46">
        <v>0.1366906474820144</v>
      </c>
      <c r="E64" s="46">
        <v>0.20863309352517986</v>
      </c>
      <c r="F64" s="46">
        <v>1</v>
      </c>
    </row>
    <row r="65" spans="1:6" ht="15" customHeight="1">
      <c r="A65" s="19" t="s">
        <v>181</v>
      </c>
      <c r="B65" s="46">
        <v>0.3321917808219178</v>
      </c>
      <c r="C65" s="46">
        <v>0.07191780821917808</v>
      </c>
      <c r="D65" s="46">
        <v>0.22945205479452055</v>
      </c>
      <c r="E65" s="46">
        <v>0.3664383561643836</v>
      </c>
      <c r="F65" s="46">
        <v>1</v>
      </c>
    </row>
    <row r="66" spans="1:6" ht="15" customHeight="1">
      <c r="A66" s="19" t="s">
        <v>185</v>
      </c>
      <c r="B66" s="46">
        <v>0.5472263868065967</v>
      </c>
      <c r="C66" s="46">
        <v>0.1454272863568216</v>
      </c>
      <c r="D66" s="46">
        <v>0.13493253373313344</v>
      </c>
      <c r="E66" s="46">
        <v>0.1724137931034483</v>
      </c>
      <c r="F66" s="46">
        <v>1</v>
      </c>
    </row>
    <row r="67" spans="1:6" ht="15" customHeight="1">
      <c r="A67" s="19" t="s">
        <v>183</v>
      </c>
      <c r="B67" s="46">
        <v>0.7111111111111111</v>
      </c>
      <c r="C67" s="46">
        <v>0.16666666666666666</v>
      </c>
      <c r="D67" s="46">
        <v>0.12222222222222222</v>
      </c>
      <c r="E67" s="46">
        <v>0</v>
      </c>
      <c r="F67" s="46">
        <v>1</v>
      </c>
    </row>
    <row r="68" spans="1:6" ht="15" customHeight="1">
      <c r="A68" s="19" t="s">
        <v>188</v>
      </c>
      <c r="B68" s="46">
        <v>0.7944785276073619</v>
      </c>
      <c r="C68" s="46">
        <v>0.006134969325153374</v>
      </c>
      <c r="D68" s="46">
        <v>0.01687116564417178</v>
      </c>
      <c r="E68" s="46">
        <v>0.18251533742331288</v>
      </c>
      <c r="F68" s="46">
        <v>1</v>
      </c>
    </row>
    <row r="69" spans="1:6" ht="15" customHeight="1">
      <c r="A69" s="28" t="s">
        <v>218</v>
      </c>
      <c r="B69" s="46"/>
      <c r="C69" s="46"/>
      <c r="D69" s="46"/>
      <c r="E69" s="46"/>
      <c r="F69" s="46"/>
    </row>
    <row r="70" spans="1:6" ht="15" customHeight="1">
      <c r="A70" s="19" t="s">
        <v>191</v>
      </c>
      <c r="B70" s="46">
        <v>0.6206896551724138</v>
      </c>
      <c r="C70" s="46">
        <v>0.08463949843260188</v>
      </c>
      <c r="D70" s="46">
        <v>0.0219435736677116</v>
      </c>
      <c r="E70" s="46">
        <v>0.2727272727272727</v>
      </c>
      <c r="F70" s="46">
        <v>1</v>
      </c>
    </row>
    <row r="71" spans="1:6" ht="15" customHeight="1">
      <c r="A71" s="19" t="s">
        <v>192</v>
      </c>
      <c r="B71" s="46">
        <v>0.8264462809917356</v>
      </c>
      <c r="C71" s="46">
        <v>0.07713498622589532</v>
      </c>
      <c r="D71" s="46">
        <v>0.03581267217630854</v>
      </c>
      <c r="E71" s="46">
        <v>0.06060606060606061</v>
      </c>
      <c r="F71" s="46">
        <v>1</v>
      </c>
    </row>
    <row r="72" spans="1:6" ht="15" customHeight="1">
      <c r="A72" s="19" t="s">
        <v>193</v>
      </c>
      <c r="B72" s="46">
        <v>0.3671875</v>
      </c>
      <c r="C72" s="46">
        <v>0.2265625</v>
      </c>
      <c r="D72" s="46">
        <v>0.375</v>
      </c>
      <c r="E72" s="46">
        <v>0.03125</v>
      </c>
      <c r="F72" s="46">
        <v>1</v>
      </c>
    </row>
    <row r="73" spans="1:6" ht="15" customHeight="1">
      <c r="A73" s="51" t="s">
        <v>194</v>
      </c>
      <c r="B73" s="46">
        <v>0.5366876310272537</v>
      </c>
      <c r="C73" s="46">
        <v>0.1488469601677149</v>
      </c>
      <c r="D73" s="46">
        <v>0.16561844863731656</v>
      </c>
      <c r="E73" s="46">
        <v>0.1488469601677149</v>
      </c>
      <c r="F73" s="46">
        <v>1</v>
      </c>
    </row>
    <row r="74" spans="1:6" ht="15" customHeight="1">
      <c r="A74" s="19" t="s">
        <v>195</v>
      </c>
      <c r="B74" s="46">
        <v>0</v>
      </c>
      <c r="C74" s="46">
        <v>0</v>
      </c>
      <c r="D74" s="46">
        <v>0.04980842911877394</v>
      </c>
      <c r="E74" s="46">
        <v>0.9501915708812261</v>
      </c>
      <c r="F74" s="46">
        <v>1</v>
      </c>
    </row>
    <row r="75" spans="1:6" ht="15" customHeight="1">
      <c r="A75" s="19" t="s">
        <v>196</v>
      </c>
      <c r="B75" s="46">
        <v>0.5724381625441696</v>
      </c>
      <c r="C75" s="46">
        <v>0.21908127208480566</v>
      </c>
      <c r="D75" s="46">
        <v>0.05653710247349823</v>
      </c>
      <c r="E75" s="46">
        <v>0.1519434628975265</v>
      </c>
      <c r="F75" s="46">
        <v>1</v>
      </c>
    </row>
    <row r="76" spans="1:6" ht="15" customHeight="1">
      <c r="A76" s="19" t="s">
        <v>197</v>
      </c>
      <c r="B76" s="46">
        <v>1</v>
      </c>
      <c r="C76" s="46">
        <v>0</v>
      </c>
      <c r="D76" s="46">
        <v>0</v>
      </c>
      <c r="E76" s="46">
        <v>0</v>
      </c>
      <c r="F76" s="46">
        <v>1</v>
      </c>
    </row>
    <row r="77" spans="1:6" ht="15" customHeight="1">
      <c r="A77" s="51" t="s">
        <v>190</v>
      </c>
      <c r="B77" s="46">
        <v>0.9987220447284345</v>
      </c>
      <c r="C77" s="46">
        <v>0</v>
      </c>
      <c r="D77" s="46">
        <v>0</v>
      </c>
      <c r="E77" s="46">
        <v>0.0012779552715654952</v>
      </c>
      <c r="F77" s="46">
        <v>1</v>
      </c>
    </row>
    <row r="78" spans="1:6" ht="15" customHeight="1">
      <c r="A78" s="19" t="s">
        <v>198</v>
      </c>
      <c r="B78" s="46">
        <v>0.625</v>
      </c>
      <c r="C78" s="46">
        <v>0.25</v>
      </c>
      <c r="D78" s="46">
        <v>0</v>
      </c>
      <c r="E78" s="46">
        <v>0.125</v>
      </c>
      <c r="F78" s="46">
        <v>1</v>
      </c>
    </row>
    <row r="79" ht="12.75">
      <c r="A79" s="53" t="s">
        <v>219</v>
      </c>
    </row>
    <row r="80" ht="12.75">
      <c r="A80" s="53" t="s">
        <v>220</v>
      </c>
    </row>
    <row r="81" ht="12.75">
      <c r="A81" s="56" t="s">
        <v>221</v>
      </c>
    </row>
    <row r="82" ht="12.75">
      <c r="A82" s="325" t="s">
        <v>476</v>
      </c>
    </row>
  </sheetData>
  <sheetProtection/>
  <mergeCells count="2">
    <mergeCell ref="A6:E6"/>
    <mergeCell ref="A37:F37"/>
  </mergeCells>
  <printOptions/>
  <pageMargins left="0" right="0" top="0" bottom="0" header="0" footer="0"/>
  <pageSetup fitToHeight="2" horizontalDpi="600" verticalDpi="600" orientation="landscape" paperSize="9" scale="83" r:id="rId1"/>
  <rowBreaks count="1" manualBreakCount="1">
    <brk id="36" max="255" man="1"/>
  </rowBreaks>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T39"/>
  <sheetViews>
    <sheetView zoomScaleSheetLayoutView="70" zoomScalePageLayoutView="0" workbookViewId="0" topLeftCell="A1">
      <selection activeCell="P45" sqref="P45"/>
    </sheetView>
  </sheetViews>
  <sheetFormatPr defaultColWidth="9.140625" defaultRowHeight="12.75"/>
  <cols>
    <col min="1" max="1" width="22.8515625" style="25" customWidth="1"/>
    <col min="2" max="2" width="7.421875" style="25" customWidth="1"/>
    <col min="3" max="18" width="6.421875" style="25" customWidth="1"/>
    <col min="19" max="16384" width="9.140625" style="25" customWidth="1"/>
  </cols>
  <sheetData>
    <row r="1" spans="1:19" s="318" customFormat="1" ht="34.5" customHeight="1">
      <c r="A1" s="821" t="s">
        <v>384</v>
      </c>
      <c r="B1" s="821"/>
      <c r="C1" s="821"/>
      <c r="D1" s="821"/>
      <c r="E1" s="821"/>
      <c r="F1" s="821"/>
      <c r="G1" s="821"/>
      <c r="H1" s="821"/>
      <c r="I1" s="821"/>
      <c r="J1" s="821"/>
      <c r="K1" s="821"/>
      <c r="L1" s="821"/>
      <c r="M1" s="821"/>
      <c r="N1" s="821"/>
      <c r="O1" s="821"/>
      <c r="P1" s="821"/>
      <c r="Q1" s="821"/>
      <c r="R1" s="821"/>
      <c r="S1" s="821"/>
    </row>
    <row r="2" spans="1:11" s="321" customFormat="1" ht="14.25" customHeight="1">
      <c r="A2" s="319"/>
      <c r="B2" s="320"/>
      <c r="C2" s="320"/>
      <c r="D2" s="320"/>
      <c r="E2" s="320"/>
      <c r="F2" s="320"/>
      <c r="G2" s="320"/>
      <c r="H2" s="320"/>
      <c r="I2" s="320"/>
      <c r="J2" s="320"/>
      <c r="K2" s="320"/>
    </row>
    <row r="3" spans="1:20" s="322" customFormat="1" ht="51" customHeight="1">
      <c r="A3" s="446" t="s">
        <v>0</v>
      </c>
      <c r="B3" s="451" t="s">
        <v>383</v>
      </c>
      <c r="C3" s="452" t="s">
        <v>38</v>
      </c>
      <c r="D3" s="452" t="s">
        <v>39</v>
      </c>
      <c r="E3" s="452" t="s">
        <v>40</v>
      </c>
      <c r="F3" s="452" t="s">
        <v>41</v>
      </c>
      <c r="G3" s="452" t="s">
        <v>42</v>
      </c>
      <c r="H3" s="452" t="s">
        <v>43</v>
      </c>
      <c r="I3" s="452" t="s">
        <v>44</v>
      </c>
      <c r="J3" s="452" t="s">
        <v>45</v>
      </c>
      <c r="K3" s="452" t="s">
        <v>46</v>
      </c>
      <c r="L3" s="452" t="s">
        <v>47</v>
      </c>
      <c r="M3" s="452" t="s">
        <v>48</v>
      </c>
      <c r="N3" s="452" t="s">
        <v>49</v>
      </c>
      <c r="O3" s="452" t="s">
        <v>50</v>
      </c>
      <c r="P3" s="452" t="s">
        <v>55</v>
      </c>
      <c r="Q3" s="452" t="s">
        <v>295</v>
      </c>
      <c r="R3" s="452" t="s">
        <v>361</v>
      </c>
      <c r="S3" s="452" t="s">
        <v>382</v>
      </c>
      <c r="T3" s="452" t="s">
        <v>362</v>
      </c>
    </row>
    <row r="4" spans="1:20" s="323" customFormat="1" ht="19.5" customHeight="1">
      <c r="A4" s="454" t="s">
        <v>4</v>
      </c>
      <c r="B4" s="434">
        <v>1</v>
      </c>
      <c r="C4" s="434">
        <v>0</v>
      </c>
      <c r="D4" s="434">
        <v>0</v>
      </c>
      <c r="E4" s="434">
        <v>0</v>
      </c>
      <c r="F4" s="434">
        <v>2</v>
      </c>
      <c r="G4" s="434">
        <v>1</v>
      </c>
      <c r="H4" s="434">
        <v>5</v>
      </c>
      <c r="I4" s="434">
        <v>9</v>
      </c>
      <c r="J4" s="434">
        <v>42</v>
      </c>
      <c r="K4" s="434">
        <v>52</v>
      </c>
      <c r="L4" s="434">
        <v>118</v>
      </c>
      <c r="M4" s="434">
        <v>436</v>
      </c>
      <c r="N4" s="434">
        <v>891</v>
      </c>
      <c r="O4" s="434">
        <v>1252</v>
      </c>
      <c r="P4" s="434">
        <v>2246</v>
      </c>
      <c r="Q4" s="434">
        <v>2463</v>
      </c>
      <c r="R4" s="434">
        <v>2696</v>
      </c>
      <c r="S4" s="434">
        <v>3110</v>
      </c>
      <c r="T4" s="438">
        <v>13324</v>
      </c>
    </row>
    <row r="5" spans="1:20" s="324" customFormat="1" ht="15" customHeight="1">
      <c r="A5" s="447" t="s">
        <v>51</v>
      </c>
      <c r="B5" s="449">
        <f>B4/T4</f>
        <v>7.505253677574302E-05</v>
      </c>
      <c r="C5" s="449">
        <f>C4/T4</f>
        <v>0</v>
      </c>
      <c r="D5" s="449">
        <f>D4/T4</f>
        <v>0</v>
      </c>
      <c r="E5" s="449">
        <f>E4/T4</f>
        <v>0</v>
      </c>
      <c r="F5" s="449">
        <f>F4/$T$4</f>
        <v>0.00015010507355148604</v>
      </c>
      <c r="G5" s="449">
        <f aca="true" t="shared" si="0" ref="G5:T5">G4/$T$4</f>
        <v>7.505253677574302E-05</v>
      </c>
      <c r="H5" s="449">
        <f t="shared" si="0"/>
        <v>0.0003752626838787151</v>
      </c>
      <c r="I5" s="449">
        <f t="shared" si="0"/>
        <v>0.0006754728309816872</v>
      </c>
      <c r="J5" s="449">
        <f t="shared" si="0"/>
        <v>0.003152206544581207</v>
      </c>
      <c r="K5" s="449">
        <f t="shared" si="0"/>
        <v>0.003902731912338637</v>
      </c>
      <c r="L5" s="449">
        <f t="shared" si="0"/>
        <v>0.008856199339537676</v>
      </c>
      <c r="M5" s="449">
        <f t="shared" si="0"/>
        <v>0.03272290603422396</v>
      </c>
      <c r="N5" s="449">
        <f t="shared" si="0"/>
        <v>0.06687181026718703</v>
      </c>
      <c r="O5" s="449">
        <f t="shared" si="0"/>
        <v>0.09396577604323027</v>
      </c>
      <c r="P5" s="449">
        <f t="shared" si="0"/>
        <v>0.16856799759831884</v>
      </c>
      <c r="Q5" s="449">
        <f t="shared" si="0"/>
        <v>0.18485439807865506</v>
      </c>
      <c r="R5" s="449">
        <f t="shared" si="0"/>
        <v>0.2023416391474032</v>
      </c>
      <c r="S5" s="449">
        <f t="shared" si="0"/>
        <v>0.2334133893725608</v>
      </c>
      <c r="T5" s="449">
        <f t="shared" si="0"/>
        <v>1</v>
      </c>
    </row>
    <row r="6" spans="1:20" s="323" customFormat="1" ht="19.5" customHeight="1">
      <c r="A6" s="454" t="s">
        <v>292</v>
      </c>
      <c r="B6" s="434">
        <v>0</v>
      </c>
      <c r="C6" s="434">
        <v>0</v>
      </c>
      <c r="D6" s="434">
        <v>0</v>
      </c>
      <c r="E6" s="434">
        <v>1</v>
      </c>
      <c r="F6" s="434">
        <v>5</v>
      </c>
      <c r="G6" s="434">
        <v>8</v>
      </c>
      <c r="H6" s="434">
        <v>3</v>
      </c>
      <c r="I6" s="434">
        <v>3</v>
      </c>
      <c r="J6" s="434">
        <v>12</v>
      </c>
      <c r="K6" s="434">
        <v>18</v>
      </c>
      <c r="L6" s="434">
        <v>49</v>
      </c>
      <c r="M6" s="434">
        <v>57</v>
      </c>
      <c r="N6" s="434">
        <v>76</v>
      </c>
      <c r="O6" s="434">
        <v>100</v>
      </c>
      <c r="P6" s="434">
        <v>136</v>
      </c>
      <c r="Q6" s="434">
        <v>143</v>
      </c>
      <c r="R6" s="434">
        <v>161</v>
      </c>
      <c r="S6" s="434">
        <v>186</v>
      </c>
      <c r="T6" s="438">
        <v>958</v>
      </c>
    </row>
    <row r="7" spans="1:20" s="324" customFormat="1" ht="15" customHeight="1">
      <c r="A7" s="447" t="s">
        <v>51</v>
      </c>
      <c r="B7" s="449">
        <f>B6/$T$6</f>
        <v>0</v>
      </c>
      <c r="C7" s="449">
        <f aca="true" t="shared" si="1" ref="C7:T7">C6/$T$6</f>
        <v>0</v>
      </c>
      <c r="D7" s="449">
        <f t="shared" si="1"/>
        <v>0</v>
      </c>
      <c r="E7" s="449">
        <f t="shared" si="1"/>
        <v>0.0010438413361169101</v>
      </c>
      <c r="F7" s="449">
        <f t="shared" si="1"/>
        <v>0.005219206680584551</v>
      </c>
      <c r="G7" s="449">
        <f t="shared" si="1"/>
        <v>0.008350730688935281</v>
      </c>
      <c r="H7" s="449">
        <f t="shared" si="1"/>
        <v>0.003131524008350731</v>
      </c>
      <c r="I7" s="449">
        <f t="shared" si="1"/>
        <v>0.003131524008350731</v>
      </c>
      <c r="J7" s="449">
        <f t="shared" si="1"/>
        <v>0.012526096033402923</v>
      </c>
      <c r="K7" s="449">
        <f t="shared" si="1"/>
        <v>0.018789144050104383</v>
      </c>
      <c r="L7" s="449">
        <f t="shared" si="1"/>
        <v>0.0511482254697286</v>
      </c>
      <c r="M7" s="449">
        <f t="shared" si="1"/>
        <v>0.059498956158663886</v>
      </c>
      <c r="N7" s="449">
        <f t="shared" si="1"/>
        <v>0.07933194154488518</v>
      </c>
      <c r="O7" s="449">
        <f t="shared" si="1"/>
        <v>0.10438413361169102</v>
      </c>
      <c r="P7" s="449">
        <f t="shared" si="1"/>
        <v>0.1419624217118998</v>
      </c>
      <c r="Q7" s="449">
        <f t="shared" si="1"/>
        <v>0.14926931106471816</v>
      </c>
      <c r="R7" s="449">
        <f t="shared" si="1"/>
        <v>0.16805845511482254</v>
      </c>
      <c r="S7" s="449">
        <f t="shared" si="1"/>
        <v>0.1941544885177453</v>
      </c>
      <c r="T7" s="449">
        <f t="shared" si="1"/>
        <v>1</v>
      </c>
    </row>
    <row r="8" spans="1:20" s="323" customFormat="1" ht="19.5" customHeight="1" hidden="1">
      <c r="A8" s="454" t="s">
        <v>293</v>
      </c>
      <c r="B8" s="434"/>
      <c r="C8" s="434"/>
      <c r="D8" s="434"/>
      <c r="E8" s="434"/>
      <c r="F8" s="434"/>
      <c r="G8" s="434"/>
      <c r="H8" s="434"/>
      <c r="I8" s="434"/>
      <c r="J8" s="434"/>
      <c r="K8" s="434"/>
      <c r="L8" s="434"/>
      <c r="M8" s="434"/>
      <c r="N8" s="434"/>
      <c r="O8" s="434"/>
      <c r="P8" s="434"/>
      <c r="Q8" s="434"/>
      <c r="R8" s="434"/>
      <c r="S8" s="434"/>
      <c r="T8" s="438"/>
    </row>
    <row r="9" spans="1:20" s="324" customFormat="1" ht="15" customHeight="1" hidden="1">
      <c r="A9" s="447" t="s">
        <v>51</v>
      </c>
      <c r="B9" s="449" t="e">
        <f>B8/$T$8</f>
        <v>#DIV/0!</v>
      </c>
      <c r="C9" s="449" t="e">
        <f aca="true" t="shared" si="2" ref="C9:T9">C8/$T$8</f>
        <v>#DIV/0!</v>
      </c>
      <c r="D9" s="449" t="e">
        <f t="shared" si="2"/>
        <v>#DIV/0!</v>
      </c>
      <c r="E9" s="449" t="e">
        <f t="shared" si="2"/>
        <v>#DIV/0!</v>
      </c>
      <c r="F9" s="449" t="e">
        <f t="shared" si="2"/>
        <v>#DIV/0!</v>
      </c>
      <c r="G9" s="449" t="e">
        <f t="shared" si="2"/>
        <v>#DIV/0!</v>
      </c>
      <c r="H9" s="449" t="e">
        <f t="shared" si="2"/>
        <v>#DIV/0!</v>
      </c>
      <c r="I9" s="449" t="e">
        <f t="shared" si="2"/>
        <v>#DIV/0!</v>
      </c>
      <c r="J9" s="449" t="e">
        <f t="shared" si="2"/>
        <v>#DIV/0!</v>
      </c>
      <c r="K9" s="449" t="e">
        <f t="shared" si="2"/>
        <v>#DIV/0!</v>
      </c>
      <c r="L9" s="449" t="e">
        <f t="shared" si="2"/>
        <v>#DIV/0!</v>
      </c>
      <c r="M9" s="449" t="e">
        <f t="shared" si="2"/>
        <v>#DIV/0!</v>
      </c>
      <c r="N9" s="449" t="e">
        <f t="shared" si="2"/>
        <v>#DIV/0!</v>
      </c>
      <c r="O9" s="449" t="e">
        <f t="shared" si="2"/>
        <v>#DIV/0!</v>
      </c>
      <c r="P9" s="449" t="e">
        <f t="shared" si="2"/>
        <v>#DIV/0!</v>
      </c>
      <c r="Q9" s="449" t="e">
        <f t="shared" si="2"/>
        <v>#DIV/0!</v>
      </c>
      <c r="R9" s="449" t="e">
        <f t="shared" si="2"/>
        <v>#DIV/0!</v>
      </c>
      <c r="S9" s="449" t="e">
        <f t="shared" si="2"/>
        <v>#DIV/0!</v>
      </c>
      <c r="T9" s="449" t="e">
        <f t="shared" si="2"/>
        <v>#DIV/0!</v>
      </c>
    </row>
    <row r="10" spans="1:20" s="323" customFormat="1" ht="19.5" customHeight="1" hidden="1">
      <c r="A10" s="454" t="s">
        <v>294</v>
      </c>
      <c r="B10" s="434"/>
      <c r="C10" s="434"/>
      <c r="D10" s="434"/>
      <c r="E10" s="434"/>
      <c r="F10" s="434"/>
      <c r="G10" s="434"/>
      <c r="H10" s="434"/>
      <c r="I10" s="434"/>
      <c r="J10" s="434"/>
      <c r="K10" s="434"/>
      <c r="L10" s="434"/>
      <c r="M10" s="434"/>
      <c r="N10" s="434"/>
      <c r="O10" s="434"/>
      <c r="P10" s="434"/>
      <c r="Q10" s="434"/>
      <c r="R10" s="434"/>
      <c r="S10" s="434"/>
      <c r="T10" s="438"/>
    </row>
    <row r="11" spans="1:20" s="324" customFormat="1" ht="15" customHeight="1" hidden="1">
      <c r="A11" s="447" t="s">
        <v>51</v>
      </c>
      <c r="B11" s="449" t="e">
        <f>B10/$T$10</f>
        <v>#DIV/0!</v>
      </c>
      <c r="C11" s="449" t="e">
        <f aca="true" t="shared" si="3" ref="C11:T11">C10/$T$10</f>
        <v>#DIV/0!</v>
      </c>
      <c r="D11" s="449" t="e">
        <f t="shared" si="3"/>
        <v>#DIV/0!</v>
      </c>
      <c r="E11" s="449" t="e">
        <f t="shared" si="3"/>
        <v>#DIV/0!</v>
      </c>
      <c r="F11" s="449" t="e">
        <f t="shared" si="3"/>
        <v>#DIV/0!</v>
      </c>
      <c r="G11" s="449" t="e">
        <f t="shared" si="3"/>
        <v>#DIV/0!</v>
      </c>
      <c r="H11" s="449" t="e">
        <f t="shared" si="3"/>
        <v>#DIV/0!</v>
      </c>
      <c r="I11" s="449" t="e">
        <f t="shared" si="3"/>
        <v>#DIV/0!</v>
      </c>
      <c r="J11" s="449" t="e">
        <f t="shared" si="3"/>
        <v>#DIV/0!</v>
      </c>
      <c r="K11" s="449" t="e">
        <f t="shared" si="3"/>
        <v>#DIV/0!</v>
      </c>
      <c r="L11" s="449" t="e">
        <f t="shared" si="3"/>
        <v>#DIV/0!</v>
      </c>
      <c r="M11" s="449" t="e">
        <f t="shared" si="3"/>
        <v>#DIV/0!</v>
      </c>
      <c r="N11" s="449" t="e">
        <f t="shared" si="3"/>
        <v>#DIV/0!</v>
      </c>
      <c r="O11" s="449" t="e">
        <f t="shared" si="3"/>
        <v>#DIV/0!</v>
      </c>
      <c r="P11" s="449" t="e">
        <f t="shared" si="3"/>
        <v>#DIV/0!</v>
      </c>
      <c r="Q11" s="449" t="e">
        <f t="shared" si="3"/>
        <v>#DIV/0!</v>
      </c>
      <c r="R11" s="449" t="e">
        <f t="shared" si="3"/>
        <v>#DIV/0!</v>
      </c>
      <c r="S11" s="449" t="e">
        <f t="shared" si="3"/>
        <v>#DIV/0!</v>
      </c>
      <c r="T11" s="449" t="e">
        <f t="shared" si="3"/>
        <v>#DIV/0!</v>
      </c>
    </row>
    <row r="12" spans="1:20" s="323" customFormat="1" ht="19.5" customHeight="1" hidden="1">
      <c r="A12" s="454" t="s">
        <v>134</v>
      </c>
      <c r="B12" s="434"/>
      <c r="C12" s="434"/>
      <c r="D12" s="434"/>
      <c r="E12" s="434"/>
      <c r="F12" s="434"/>
      <c r="G12" s="434"/>
      <c r="H12" s="434"/>
      <c r="I12" s="434"/>
      <c r="J12" s="434"/>
      <c r="K12" s="434"/>
      <c r="L12" s="434"/>
      <c r="M12" s="434"/>
      <c r="N12" s="434"/>
      <c r="O12" s="434"/>
      <c r="P12" s="434"/>
      <c r="Q12" s="434"/>
      <c r="R12" s="434"/>
      <c r="S12" s="434"/>
      <c r="T12" s="438"/>
    </row>
    <row r="13" spans="1:20" s="324" customFormat="1" ht="15" customHeight="1" hidden="1">
      <c r="A13" s="447" t="s">
        <v>51</v>
      </c>
      <c r="B13" s="449" t="e">
        <f>B12/$T$12</f>
        <v>#DIV/0!</v>
      </c>
      <c r="C13" s="449" t="e">
        <f aca="true" t="shared" si="4" ref="C13:T13">C12/$T$12</f>
        <v>#DIV/0!</v>
      </c>
      <c r="D13" s="449" t="e">
        <f t="shared" si="4"/>
        <v>#DIV/0!</v>
      </c>
      <c r="E13" s="449" t="e">
        <f t="shared" si="4"/>
        <v>#DIV/0!</v>
      </c>
      <c r="F13" s="449" t="e">
        <f t="shared" si="4"/>
        <v>#DIV/0!</v>
      </c>
      <c r="G13" s="449" t="e">
        <f t="shared" si="4"/>
        <v>#DIV/0!</v>
      </c>
      <c r="H13" s="449" t="e">
        <f t="shared" si="4"/>
        <v>#DIV/0!</v>
      </c>
      <c r="I13" s="449" t="e">
        <f t="shared" si="4"/>
        <v>#DIV/0!</v>
      </c>
      <c r="J13" s="449" t="e">
        <f t="shared" si="4"/>
        <v>#DIV/0!</v>
      </c>
      <c r="K13" s="449" t="e">
        <f t="shared" si="4"/>
        <v>#DIV/0!</v>
      </c>
      <c r="L13" s="449" t="e">
        <f t="shared" si="4"/>
        <v>#DIV/0!</v>
      </c>
      <c r="M13" s="449" t="e">
        <f t="shared" si="4"/>
        <v>#DIV/0!</v>
      </c>
      <c r="N13" s="449" t="e">
        <f t="shared" si="4"/>
        <v>#DIV/0!</v>
      </c>
      <c r="O13" s="449" t="e">
        <f t="shared" si="4"/>
        <v>#DIV/0!</v>
      </c>
      <c r="P13" s="449" t="e">
        <f t="shared" si="4"/>
        <v>#DIV/0!</v>
      </c>
      <c r="Q13" s="449" t="e">
        <f t="shared" si="4"/>
        <v>#DIV/0!</v>
      </c>
      <c r="R13" s="449" t="e">
        <f t="shared" si="4"/>
        <v>#DIV/0!</v>
      </c>
      <c r="S13" s="449" t="e">
        <f t="shared" si="4"/>
        <v>#DIV/0!</v>
      </c>
      <c r="T13" s="449" t="e">
        <f t="shared" si="4"/>
        <v>#DIV/0!</v>
      </c>
    </row>
    <row r="14" spans="1:20" s="323" customFormat="1" ht="19.5" customHeight="1" hidden="1">
      <c r="A14" s="454" t="s">
        <v>135</v>
      </c>
      <c r="B14" s="434"/>
      <c r="C14" s="434"/>
      <c r="D14" s="434"/>
      <c r="E14" s="434"/>
      <c r="F14" s="434"/>
      <c r="G14" s="434"/>
      <c r="H14" s="434"/>
      <c r="I14" s="434"/>
      <c r="J14" s="434"/>
      <c r="K14" s="434"/>
      <c r="L14" s="434"/>
      <c r="M14" s="434"/>
      <c r="N14" s="434"/>
      <c r="O14" s="434"/>
      <c r="P14" s="434"/>
      <c r="Q14" s="434"/>
      <c r="R14" s="434"/>
      <c r="S14" s="434"/>
      <c r="T14" s="438"/>
    </row>
    <row r="15" spans="1:20" s="324" customFormat="1" ht="15" customHeight="1" hidden="1">
      <c r="A15" s="447" t="s">
        <v>51</v>
      </c>
      <c r="B15" s="449" t="e">
        <f>B14/$T$14</f>
        <v>#DIV/0!</v>
      </c>
      <c r="C15" s="449" t="e">
        <f aca="true" t="shared" si="5" ref="C15:T15">C14/$T$14</f>
        <v>#DIV/0!</v>
      </c>
      <c r="D15" s="449" t="e">
        <f t="shared" si="5"/>
        <v>#DIV/0!</v>
      </c>
      <c r="E15" s="449" t="e">
        <f t="shared" si="5"/>
        <v>#DIV/0!</v>
      </c>
      <c r="F15" s="449" t="e">
        <f t="shared" si="5"/>
        <v>#DIV/0!</v>
      </c>
      <c r="G15" s="449" t="e">
        <f t="shared" si="5"/>
        <v>#DIV/0!</v>
      </c>
      <c r="H15" s="449" t="e">
        <f t="shared" si="5"/>
        <v>#DIV/0!</v>
      </c>
      <c r="I15" s="449" t="e">
        <f t="shared" si="5"/>
        <v>#DIV/0!</v>
      </c>
      <c r="J15" s="449" t="e">
        <f t="shared" si="5"/>
        <v>#DIV/0!</v>
      </c>
      <c r="K15" s="449" t="e">
        <f t="shared" si="5"/>
        <v>#DIV/0!</v>
      </c>
      <c r="L15" s="449" t="e">
        <f t="shared" si="5"/>
        <v>#DIV/0!</v>
      </c>
      <c r="M15" s="449" t="e">
        <f t="shared" si="5"/>
        <v>#DIV/0!</v>
      </c>
      <c r="N15" s="449" t="e">
        <f t="shared" si="5"/>
        <v>#DIV/0!</v>
      </c>
      <c r="O15" s="449" t="e">
        <f t="shared" si="5"/>
        <v>#DIV/0!</v>
      </c>
      <c r="P15" s="449" t="e">
        <f t="shared" si="5"/>
        <v>#DIV/0!</v>
      </c>
      <c r="Q15" s="449" t="e">
        <f t="shared" si="5"/>
        <v>#DIV/0!</v>
      </c>
      <c r="R15" s="449" t="e">
        <f t="shared" si="5"/>
        <v>#DIV/0!</v>
      </c>
      <c r="S15" s="449" t="e">
        <f t="shared" si="5"/>
        <v>#DIV/0!</v>
      </c>
      <c r="T15" s="449" t="e">
        <f t="shared" si="5"/>
        <v>#DIV/0!</v>
      </c>
    </row>
    <row r="16" spans="1:20" s="323" customFormat="1" ht="19.5" customHeight="1" hidden="1">
      <c r="A16" s="454" t="s">
        <v>296</v>
      </c>
      <c r="B16" s="453">
        <f>B6+B8+B10+B12+B14</f>
        <v>0</v>
      </c>
      <c r="C16" s="453">
        <f aca="true" t="shared" si="6" ref="C16:T16">C6+C8+C10+C12+C14</f>
        <v>0</v>
      </c>
      <c r="D16" s="453">
        <f t="shared" si="6"/>
        <v>0</v>
      </c>
      <c r="E16" s="453">
        <f t="shared" si="6"/>
        <v>1</v>
      </c>
      <c r="F16" s="453">
        <f t="shared" si="6"/>
        <v>5</v>
      </c>
      <c r="G16" s="453">
        <f t="shared" si="6"/>
        <v>8</v>
      </c>
      <c r="H16" s="453">
        <f t="shared" si="6"/>
        <v>3</v>
      </c>
      <c r="I16" s="453">
        <f t="shared" si="6"/>
        <v>3</v>
      </c>
      <c r="J16" s="453">
        <f t="shared" si="6"/>
        <v>12</v>
      </c>
      <c r="K16" s="453">
        <f t="shared" si="6"/>
        <v>18</v>
      </c>
      <c r="L16" s="453">
        <f t="shared" si="6"/>
        <v>49</v>
      </c>
      <c r="M16" s="453">
        <f t="shared" si="6"/>
        <v>57</v>
      </c>
      <c r="N16" s="453">
        <f t="shared" si="6"/>
        <v>76</v>
      </c>
      <c r="O16" s="453">
        <f t="shared" si="6"/>
        <v>100</v>
      </c>
      <c r="P16" s="453">
        <f t="shared" si="6"/>
        <v>136</v>
      </c>
      <c r="Q16" s="453">
        <f t="shared" si="6"/>
        <v>143</v>
      </c>
      <c r="R16" s="453">
        <f t="shared" si="6"/>
        <v>161</v>
      </c>
      <c r="S16" s="453">
        <f t="shared" si="6"/>
        <v>186</v>
      </c>
      <c r="T16" s="453">
        <f t="shared" si="6"/>
        <v>958</v>
      </c>
    </row>
    <row r="17" spans="1:20" s="324" customFormat="1" ht="15" customHeight="1" hidden="1">
      <c r="A17" s="448" t="s">
        <v>52</v>
      </c>
      <c r="B17" s="450">
        <f>B16/$T$16</f>
        <v>0</v>
      </c>
      <c r="C17" s="450">
        <f aca="true" t="shared" si="7" ref="C17:S17">C16/$T$16</f>
        <v>0</v>
      </c>
      <c r="D17" s="450">
        <f t="shared" si="7"/>
        <v>0</v>
      </c>
      <c r="E17" s="450">
        <f t="shared" si="7"/>
        <v>0.0010438413361169101</v>
      </c>
      <c r="F17" s="450">
        <f t="shared" si="7"/>
        <v>0.005219206680584551</v>
      </c>
      <c r="G17" s="450">
        <f t="shared" si="7"/>
        <v>0.008350730688935281</v>
      </c>
      <c r="H17" s="450">
        <f t="shared" si="7"/>
        <v>0.003131524008350731</v>
      </c>
      <c r="I17" s="450">
        <f t="shared" si="7"/>
        <v>0.003131524008350731</v>
      </c>
      <c r="J17" s="450">
        <f t="shared" si="7"/>
        <v>0.012526096033402923</v>
      </c>
      <c r="K17" s="450">
        <f t="shared" si="7"/>
        <v>0.018789144050104383</v>
      </c>
      <c r="L17" s="450">
        <f t="shared" si="7"/>
        <v>0.0511482254697286</v>
      </c>
      <c r="M17" s="450">
        <f t="shared" si="7"/>
        <v>0.059498956158663886</v>
      </c>
      <c r="N17" s="450">
        <f t="shared" si="7"/>
        <v>0.07933194154488518</v>
      </c>
      <c r="O17" s="450">
        <f t="shared" si="7"/>
        <v>0.10438413361169102</v>
      </c>
      <c r="P17" s="450">
        <f t="shared" si="7"/>
        <v>0.1419624217118998</v>
      </c>
      <c r="Q17" s="450">
        <f t="shared" si="7"/>
        <v>0.14926931106471816</v>
      </c>
      <c r="R17" s="450">
        <f t="shared" si="7"/>
        <v>0.16805845511482254</v>
      </c>
      <c r="S17" s="450">
        <f t="shared" si="7"/>
        <v>0.1941544885177453</v>
      </c>
      <c r="T17" s="450">
        <v>1</v>
      </c>
    </row>
    <row r="18" s="318" customFormat="1" ht="12" customHeight="1">
      <c r="A18" s="326" t="s">
        <v>297</v>
      </c>
    </row>
    <row r="19" ht="12.75">
      <c r="A19" s="584" t="s">
        <v>459</v>
      </c>
    </row>
    <row r="20" ht="12.75">
      <c r="A20" s="325" t="s">
        <v>475</v>
      </c>
    </row>
    <row r="36" ht="12.75">
      <c r="A36" s="53"/>
    </row>
    <row r="38" ht="12.75">
      <c r="A38" s="53"/>
    </row>
    <row r="39" ht="12.75">
      <c r="A39" s="54"/>
    </row>
  </sheetData>
  <sheetProtection/>
  <mergeCells count="1">
    <mergeCell ref="A1:S1"/>
  </mergeCells>
  <printOptions/>
  <pageMargins left="0" right="0" top="0.5905511811023623" bottom="0.5905511811023623" header="0" footer="0"/>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tabColor rgb="FF92D050"/>
  </sheetPr>
  <dimension ref="A1:J22"/>
  <sheetViews>
    <sheetView zoomScale="90" zoomScaleNormal="90" zoomScalePageLayoutView="0" workbookViewId="0" topLeftCell="A1">
      <selection activeCell="D12" sqref="D12"/>
    </sheetView>
  </sheetViews>
  <sheetFormatPr defaultColWidth="9.140625" defaultRowHeight="12.75"/>
  <cols>
    <col min="1" max="1" width="25.140625" style="13" customWidth="1"/>
    <col min="2" max="10" width="11.7109375" style="12" customWidth="1"/>
    <col min="11" max="16384" width="9.140625" style="12" customWidth="1"/>
  </cols>
  <sheetData>
    <row r="1" spans="1:10" ht="38.25" customHeight="1">
      <c r="A1" s="831" t="s">
        <v>385</v>
      </c>
      <c r="B1" s="832"/>
      <c r="C1" s="832"/>
      <c r="D1" s="832"/>
      <c r="E1" s="832"/>
      <c r="F1" s="832"/>
      <c r="G1" s="832"/>
      <c r="H1" s="832"/>
      <c r="I1" s="832"/>
      <c r="J1" s="832"/>
    </row>
    <row r="2" spans="1:10" ht="12.75">
      <c r="A2" s="833" t="s">
        <v>25</v>
      </c>
      <c r="B2" s="825" t="s">
        <v>365</v>
      </c>
      <c r="C2" s="826"/>
      <c r="D2" s="827"/>
      <c r="E2" s="826" t="s">
        <v>298</v>
      </c>
      <c r="F2" s="826"/>
      <c r="G2" s="827"/>
      <c r="H2" s="828" t="s">
        <v>54</v>
      </c>
      <c r="I2" s="829"/>
      <c r="J2" s="830"/>
    </row>
    <row r="3" spans="1:10" s="171" customFormat="1" ht="28.5" customHeight="1">
      <c r="A3" s="834"/>
      <c r="B3" s="30" t="s">
        <v>1</v>
      </c>
      <c r="C3" s="31" t="s">
        <v>2</v>
      </c>
      <c r="D3" s="31" t="s">
        <v>249</v>
      </c>
      <c r="E3" s="30" t="s">
        <v>1</v>
      </c>
      <c r="F3" s="31" t="s">
        <v>2</v>
      </c>
      <c r="G3" s="31" t="s">
        <v>249</v>
      </c>
      <c r="H3" s="31" t="s">
        <v>1</v>
      </c>
      <c r="I3" s="31" t="s">
        <v>2</v>
      </c>
      <c r="J3" s="31" t="s">
        <v>249</v>
      </c>
    </row>
    <row r="4" spans="1:10" s="17" customFormat="1" ht="12">
      <c r="A4" s="15" t="s">
        <v>21</v>
      </c>
      <c r="B4" s="455">
        <v>312</v>
      </c>
      <c r="C4" s="455">
        <v>365</v>
      </c>
      <c r="D4" s="455">
        <v>969</v>
      </c>
      <c r="E4" s="455">
        <v>312</v>
      </c>
      <c r="F4" s="455">
        <v>326</v>
      </c>
      <c r="G4" s="455">
        <v>1022</v>
      </c>
      <c r="H4" s="217">
        <f>(B4-E4)/E4</f>
        <v>0</v>
      </c>
      <c r="I4" s="217">
        <f aca="true" t="shared" si="0" ref="I4:J8">(C4-F4)/F4</f>
        <v>0.1196319018404908</v>
      </c>
      <c r="J4" s="217">
        <f t="shared" si="0"/>
        <v>-0.05185909980430528</v>
      </c>
    </row>
    <row r="5" spans="1:10" s="18" customFormat="1" ht="12">
      <c r="A5" s="15" t="s">
        <v>22</v>
      </c>
      <c r="B5" s="455">
        <v>142</v>
      </c>
      <c r="C5" s="455">
        <v>88</v>
      </c>
      <c r="D5" s="455">
        <v>274</v>
      </c>
      <c r="E5" s="455">
        <v>128</v>
      </c>
      <c r="F5" s="455">
        <v>117</v>
      </c>
      <c r="G5" s="455">
        <v>220</v>
      </c>
      <c r="H5" s="217">
        <f>(B5-E5)/E5</f>
        <v>0.109375</v>
      </c>
      <c r="I5" s="217">
        <f t="shared" si="0"/>
        <v>-0.24786324786324787</v>
      </c>
      <c r="J5" s="217">
        <f t="shared" si="0"/>
        <v>0.24545454545454545</v>
      </c>
    </row>
    <row r="6" spans="1:10" s="18" customFormat="1" ht="12">
      <c r="A6" s="15" t="s">
        <v>15</v>
      </c>
      <c r="B6" s="455">
        <v>1570</v>
      </c>
      <c r="C6" s="455">
        <v>1069</v>
      </c>
      <c r="D6" s="455">
        <v>2359</v>
      </c>
      <c r="E6" s="455">
        <v>1078</v>
      </c>
      <c r="F6" s="455">
        <v>1195</v>
      </c>
      <c r="G6" s="455">
        <v>1858</v>
      </c>
      <c r="H6" s="217">
        <f>(B6-E6)/E6</f>
        <v>0.45640074211502785</v>
      </c>
      <c r="I6" s="217">
        <f t="shared" si="0"/>
        <v>-0.10543933054393305</v>
      </c>
      <c r="J6" s="217">
        <f t="shared" si="0"/>
        <v>0.2696447793326157</v>
      </c>
    </row>
    <row r="7" spans="1:10" s="18" customFormat="1" ht="12">
      <c r="A7" s="15" t="s">
        <v>23</v>
      </c>
      <c r="B7" s="455">
        <v>8</v>
      </c>
      <c r="C7" s="455">
        <v>12</v>
      </c>
      <c r="D7" s="455">
        <v>3</v>
      </c>
      <c r="E7" s="455">
        <v>21</v>
      </c>
      <c r="F7" s="455">
        <v>54</v>
      </c>
      <c r="G7" s="455">
        <v>7</v>
      </c>
      <c r="H7" s="217">
        <f>(B7-E7)/E7</f>
        <v>-0.6190476190476191</v>
      </c>
      <c r="I7" s="217">
        <f t="shared" si="0"/>
        <v>-0.7777777777777778</v>
      </c>
      <c r="J7" s="217">
        <f t="shared" si="0"/>
        <v>-0.5714285714285714</v>
      </c>
    </row>
    <row r="8" spans="1:10" s="18" customFormat="1" ht="12.75">
      <c r="A8" s="20" t="s">
        <v>24</v>
      </c>
      <c r="B8" s="216">
        <f aca="true" t="shared" si="1" ref="B8:G8">SUM(B4:B7)</f>
        <v>2032</v>
      </c>
      <c r="C8" s="216">
        <f t="shared" si="1"/>
        <v>1534</v>
      </c>
      <c r="D8" s="216">
        <f t="shared" si="1"/>
        <v>3605</v>
      </c>
      <c r="E8" s="216">
        <f t="shared" si="1"/>
        <v>1539</v>
      </c>
      <c r="F8" s="216">
        <f t="shared" si="1"/>
        <v>1692</v>
      </c>
      <c r="G8" s="216">
        <f t="shared" si="1"/>
        <v>3107</v>
      </c>
      <c r="H8" s="218">
        <f>(B8-E8)/E8</f>
        <v>0.3203378817413905</v>
      </c>
      <c r="I8" s="218">
        <f t="shared" si="0"/>
        <v>-0.0933806146572104</v>
      </c>
      <c r="J8" s="218">
        <f t="shared" si="0"/>
        <v>0.16028323141293851</v>
      </c>
    </row>
    <row r="9" spans="1:7" s="23" customFormat="1" ht="15" customHeight="1">
      <c r="A9" s="21"/>
      <c r="B9" s="22"/>
      <c r="C9" s="22"/>
      <c r="D9" s="22"/>
      <c r="E9" s="24"/>
      <c r="F9" s="24"/>
      <c r="G9" s="24"/>
    </row>
    <row r="10" spans="2:7" s="23" customFormat="1" ht="15" customHeight="1">
      <c r="B10" s="22"/>
      <c r="C10" s="22"/>
      <c r="D10" s="22"/>
      <c r="E10" s="24"/>
      <c r="F10" s="24"/>
      <c r="G10" s="24"/>
    </row>
    <row r="11" spans="1:7" s="23" customFormat="1" ht="15" customHeight="1">
      <c r="A11" s="22"/>
      <c r="B11" s="22"/>
      <c r="C11" s="22"/>
      <c r="D11" s="22"/>
      <c r="E11" s="24"/>
      <c r="F11" s="24"/>
      <c r="G11" s="24"/>
    </row>
    <row r="12" spans="1:7" s="23" customFormat="1" ht="15" customHeight="1">
      <c r="A12" s="22"/>
      <c r="B12" s="22"/>
      <c r="C12" s="22"/>
      <c r="D12" s="22"/>
      <c r="E12" s="24"/>
      <c r="F12" s="24"/>
      <c r="G12" s="24"/>
    </row>
    <row r="13" spans="1:7" s="23" customFormat="1" ht="15" customHeight="1">
      <c r="A13" s="22"/>
      <c r="B13" s="22"/>
      <c r="C13" s="22"/>
      <c r="D13" s="22"/>
      <c r="E13" s="24"/>
      <c r="F13" s="24"/>
      <c r="G13" s="24"/>
    </row>
    <row r="14" spans="1:7" s="23" customFormat="1" ht="15" customHeight="1">
      <c r="A14" s="21"/>
      <c r="B14" s="22"/>
      <c r="C14" s="22"/>
      <c r="D14" s="22"/>
      <c r="E14" s="24"/>
      <c r="F14" s="24"/>
      <c r="G14" s="24"/>
    </row>
    <row r="15" spans="1:7" s="23" customFormat="1" ht="15" customHeight="1">
      <c r="A15" s="21"/>
      <c r="B15" s="22"/>
      <c r="C15" s="22"/>
      <c r="D15" s="22"/>
      <c r="E15" s="24"/>
      <c r="F15" s="24"/>
      <c r="G15" s="24"/>
    </row>
    <row r="16" spans="1:8" ht="54" customHeight="1">
      <c r="A16" s="831" t="s">
        <v>386</v>
      </c>
      <c r="B16" s="832"/>
      <c r="C16" s="832"/>
      <c r="D16" s="832"/>
      <c r="F16" s="24"/>
      <c r="G16" s="24"/>
      <c r="H16" s="23"/>
    </row>
    <row r="17" spans="1:8" ht="15">
      <c r="A17" s="291"/>
      <c r="B17" s="291"/>
      <c r="C17" s="291"/>
      <c r="F17" s="24"/>
      <c r="G17" s="24"/>
      <c r="H17" s="23"/>
    </row>
    <row r="18" spans="1:7" ht="22.5" customHeight="1">
      <c r="A18" s="327"/>
      <c r="B18" s="31" t="s">
        <v>31</v>
      </c>
      <c r="C18" s="460" t="s">
        <v>365</v>
      </c>
      <c r="D18" s="31" t="s">
        <v>298</v>
      </c>
      <c r="E18" s="24"/>
      <c r="F18" s="24"/>
      <c r="G18" s="23"/>
    </row>
    <row r="19" spans="1:7" ht="19.5" customHeight="1">
      <c r="A19" s="822" t="s">
        <v>26</v>
      </c>
      <c r="B19" s="29" t="s">
        <v>27</v>
      </c>
      <c r="C19" s="456">
        <v>0</v>
      </c>
      <c r="D19" s="456">
        <v>1</v>
      </c>
      <c r="E19" s="24"/>
      <c r="F19" s="24"/>
      <c r="G19" s="23"/>
    </row>
    <row r="20" spans="1:4" ht="19.5" customHeight="1">
      <c r="A20" s="823"/>
      <c r="B20" s="29" t="s">
        <v>28</v>
      </c>
      <c r="C20" s="456">
        <v>3</v>
      </c>
      <c r="D20" s="456">
        <v>0</v>
      </c>
    </row>
    <row r="21" spans="1:4" ht="19.5" customHeight="1">
      <c r="A21" s="823"/>
      <c r="B21" s="29" t="s">
        <v>29</v>
      </c>
      <c r="C21" s="456">
        <v>0</v>
      </c>
      <c r="D21" s="456">
        <v>0</v>
      </c>
    </row>
    <row r="22" spans="1:4" ht="19.5" customHeight="1">
      <c r="A22" s="824"/>
      <c r="B22" s="29" t="s">
        <v>30</v>
      </c>
      <c r="C22" s="456">
        <v>0</v>
      </c>
      <c r="D22" s="456">
        <v>0</v>
      </c>
    </row>
  </sheetData>
  <sheetProtection/>
  <mergeCells count="7">
    <mergeCell ref="A19:A22"/>
    <mergeCell ref="B2:D2"/>
    <mergeCell ref="E2:G2"/>
    <mergeCell ref="H2:J2"/>
    <mergeCell ref="A1:J1"/>
    <mergeCell ref="A2:A3"/>
    <mergeCell ref="A16:D16"/>
  </mergeCells>
  <printOptions/>
  <pageMargins left="0.7874015748031497" right="0.1968503937007874" top="0.5905511811023623" bottom="0.5905511811023623" header="0" footer="0"/>
  <pageSetup horizontalDpi="200" verticalDpi="2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2:K28"/>
  <sheetViews>
    <sheetView zoomScalePageLayoutView="0" workbookViewId="0" topLeftCell="A1">
      <selection activeCell="K57" sqref="K57"/>
    </sheetView>
  </sheetViews>
  <sheetFormatPr defaultColWidth="9.140625" defaultRowHeight="12.75"/>
  <cols>
    <col min="2" max="2" width="7.28125" style="0" customWidth="1"/>
    <col min="3" max="3" width="8.28125" style="0" customWidth="1"/>
    <col min="4" max="4" width="8.421875" style="0" customWidth="1"/>
    <col min="5" max="6" width="8.00390625" style="0" customWidth="1"/>
    <col min="7" max="7" width="7.57421875" style="0" customWidth="1"/>
  </cols>
  <sheetData>
    <row r="2" ht="12.75">
      <c r="B2" s="162" t="s">
        <v>489</v>
      </c>
    </row>
    <row r="3" ht="12.75">
      <c r="B3" s="709"/>
    </row>
    <row r="4" spans="1:11" ht="12.75" customHeight="1">
      <c r="A4" s="738" t="s">
        <v>0</v>
      </c>
      <c r="B4" s="772" t="s">
        <v>12</v>
      </c>
      <c r="C4" s="773"/>
      <c r="D4" s="773"/>
      <c r="E4" s="773"/>
      <c r="F4" s="774"/>
      <c r="G4" s="754" t="s">
        <v>286</v>
      </c>
      <c r="H4" s="755"/>
      <c r="I4" s="755"/>
      <c r="J4" s="755"/>
      <c r="K4" s="756"/>
    </row>
    <row r="5" spans="1:11" ht="22.5">
      <c r="A5" s="752"/>
      <c r="B5" s="265" t="s">
        <v>222</v>
      </c>
      <c r="C5" s="265" t="s">
        <v>1</v>
      </c>
      <c r="D5" s="277" t="s">
        <v>460</v>
      </c>
      <c r="E5" s="265" t="s">
        <v>2</v>
      </c>
      <c r="F5" s="265" t="s">
        <v>3</v>
      </c>
      <c r="G5" s="265" t="s">
        <v>222</v>
      </c>
      <c r="H5" s="277" t="s">
        <v>1</v>
      </c>
      <c r="I5" s="277" t="s">
        <v>460</v>
      </c>
      <c r="J5" s="277" t="s">
        <v>2</v>
      </c>
      <c r="K5" s="277" t="s">
        <v>3</v>
      </c>
    </row>
    <row r="6" spans="1:11" ht="33.75" hidden="1">
      <c r="A6" s="104" t="s">
        <v>137</v>
      </c>
      <c r="B6" s="575">
        <f aca="true" t="shared" si="0" ref="B6:B27">F6+E6-C6</f>
        <v>8213</v>
      </c>
      <c r="C6" s="588">
        <v>1592</v>
      </c>
      <c r="D6" s="588">
        <v>1543</v>
      </c>
      <c r="E6" s="588">
        <v>1949</v>
      </c>
      <c r="F6" s="588">
        <v>7856</v>
      </c>
      <c r="G6" s="614"/>
      <c r="H6" s="614"/>
      <c r="I6" s="614"/>
      <c r="J6" s="614"/>
      <c r="K6" s="614"/>
    </row>
    <row r="7" spans="1:11" ht="45">
      <c r="A7" s="106" t="s">
        <v>139</v>
      </c>
      <c r="B7" s="575">
        <f t="shared" si="0"/>
        <v>1883</v>
      </c>
      <c r="C7" s="588">
        <v>1976</v>
      </c>
      <c r="D7" s="588">
        <v>582</v>
      </c>
      <c r="E7" s="588">
        <v>604</v>
      </c>
      <c r="F7" s="588">
        <v>3255</v>
      </c>
      <c r="G7" s="573">
        <f>K7-H7+J7</f>
        <v>697</v>
      </c>
      <c r="H7" s="615">
        <v>1270</v>
      </c>
      <c r="I7" s="615">
        <v>1206</v>
      </c>
      <c r="J7" s="615">
        <v>1706</v>
      </c>
      <c r="K7" s="615">
        <v>261</v>
      </c>
    </row>
    <row r="8" spans="1:11" ht="48" customHeight="1" hidden="1">
      <c r="A8" s="104" t="s">
        <v>140</v>
      </c>
      <c r="B8" s="575">
        <f t="shared" si="0"/>
        <v>1609</v>
      </c>
      <c r="C8" s="592">
        <v>37</v>
      </c>
      <c r="D8" s="592">
        <v>37</v>
      </c>
      <c r="E8" s="592">
        <v>56</v>
      </c>
      <c r="F8" s="592">
        <v>1590</v>
      </c>
      <c r="G8" s="573">
        <f aca="true" t="shared" si="1" ref="G8:G28">K8-H8+J8</f>
        <v>102</v>
      </c>
      <c r="H8" s="617">
        <v>48</v>
      </c>
      <c r="I8" s="617">
        <v>48</v>
      </c>
      <c r="J8" s="617">
        <v>35</v>
      </c>
      <c r="K8" s="617">
        <v>115</v>
      </c>
    </row>
    <row r="9" spans="1:11" ht="45.75" hidden="1" thickBot="1">
      <c r="A9" s="248" t="s">
        <v>160</v>
      </c>
      <c r="B9" s="622">
        <f t="shared" si="0"/>
        <v>3492</v>
      </c>
      <c r="C9" s="368">
        <f>C7+C8</f>
        <v>2013</v>
      </c>
      <c r="D9" s="368">
        <f>D7+D8</f>
        <v>619</v>
      </c>
      <c r="E9" s="368">
        <f>E7+E8</f>
        <v>660</v>
      </c>
      <c r="F9" s="368">
        <f>F7+F8</f>
        <v>4845</v>
      </c>
      <c r="G9" s="624">
        <f t="shared" si="1"/>
        <v>799</v>
      </c>
      <c r="H9" s="374">
        <f>H7+H8</f>
        <v>1318</v>
      </c>
      <c r="I9" s="374">
        <f>I7+I8</f>
        <v>1254</v>
      </c>
      <c r="J9" s="374">
        <f>J7+J8</f>
        <v>1741</v>
      </c>
      <c r="K9" s="374">
        <f>K7+K8</f>
        <v>376</v>
      </c>
    </row>
    <row r="10" spans="1:11" ht="22.5">
      <c r="A10" s="106" t="s">
        <v>142</v>
      </c>
      <c r="B10" s="618">
        <f t="shared" si="0"/>
        <v>13967</v>
      </c>
      <c r="C10" s="369">
        <v>11001</v>
      </c>
      <c r="D10" s="369">
        <v>4138</v>
      </c>
      <c r="E10" s="369">
        <v>5613</v>
      </c>
      <c r="F10" s="369">
        <v>19355</v>
      </c>
      <c r="G10" s="619">
        <f t="shared" si="1"/>
        <v>6541</v>
      </c>
      <c r="H10" s="355">
        <v>16092</v>
      </c>
      <c r="I10" s="355">
        <v>15174</v>
      </c>
      <c r="J10" s="355">
        <v>14453</v>
      </c>
      <c r="K10" s="621">
        <v>8180</v>
      </c>
    </row>
    <row r="11" spans="1:11" ht="13.5" customHeight="1" hidden="1">
      <c r="A11" s="681" t="s">
        <v>143</v>
      </c>
      <c r="B11" s="266">
        <f t="shared" si="0"/>
        <v>0</v>
      </c>
      <c r="C11" s="367"/>
      <c r="D11" s="367"/>
      <c r="E11" s="367"/>
      <c r="F11" s="367"/>
      <c r="G11" s="268">
        <f t="shared" si="1"/>
        <v>0</v>
      </c>
      <c r="H11" s="362"/>
      <c r="I11" s="362"/>
      <c r="J11" s="362"/>
      <c r="K11" s="362"/>
    </row>
    <row r="12" spans="1:11" ht="33.75" hidden="1">
      <c r="A12" s="104" t="s">
        <v>144</v>
      </c>
      <c r="B12" s="266">
        <f t="shared" si="0"/>
        <v>1177</v>
      </c>
      <c r="C12" s="367">
        <v>2</v>
      </c>
      <c r="D12" s="367">
        <v>2</v>
      </c>
      <c r="E12" s="367">
        <v>1179</v>
      </c>
      <c r="F12" s="367">
        <v>0</v>
      </c>
      <c r="G12" s="268">
        <f t="shared" si="1"/>
        <v>12</v>
      </c>
      <c r="H12" s="375">
        <v>18</v>
      </c>
      <c r="I12" s="375">
        <v>18</v>
      </c>
      <c r="J12" s="375">
        <v>30</v>
      </c>
      <c r="K12" s="375">
        <v>0</v>
      </c>
    </row>
    <row r="13" spans="1:11" ht="33.75" hidden="1">
      <c r="A13" s="681" t="s">
        <v>145</v>
      </c>
      <c r="B13" s="266">
        <f t="shared" si="0"/>
        <v>0</v>
      </c>
      <c r="C13" s="367"/>
      <c r="D13" s="367"/>
      <c r="E13" s="367"/>
      <c r="F13" s="367"/>
      <c r="G13" s="268">
        <f t="shared" si="1"/>
        <v>0</v>
      </c>
      <c r="H13" s="362"/>
      <c r="I13" s="362"/>
      <c r="J13" s="362"/>
      <c r="K13" s="362"/>
    </row>
    <row r="14" spans="1:11" ht="33.75" hidden="1">
      <c r="A14" s="681" t="s">
        <v>146</v>
      </c>
      <c r="B14" s="266">
        <f t="shared" si="0"/>
        <v>0</v>
      </c>
      <c r="C14" s="367"/>
      <c r="D14" s="367"/>
      <c r="E14" s="367"/>
      <c r="F14" s="367"/>
      <c r="G14" s="268">
        <f t="shared" si="1"/>
        <v>0</v>
      </c>
      <c r="H14" s="362"/>
      <c r="I14" s="362"/>
      <c r="J14" s="362"/>
      <c r="K14" s="362"/>
    </row>
    <row r="15" spans="1:11" ht="33.75" hidden="1">
      <c r="A15" s="681" t="s">
        <v>147</v>
      </c>
      <c r="B15" s="266">
        <f t="shared" si="0"/>
        <v>0</v>
      </c>
      <c r="C15" s="367"/>
      <c r="D15" s="367"/>
      <c r="E15" s="367"/>
      <c r="F15" s="367"/>
      <c r="G15" s="268">
        <f t="shared" si="1"/>
        <v>0</v>
      </c>
      <c r="H15" s="362"/>
      <c r="I15" s="362"/>
      <c r="J15" s="362"/>
      <c r="K15" s="362"/>
    </row>
    <row r="16" spans="1:11" ht="45" hidden="1">
      <c r="A16" s="681" t="s">
        <v>148</v>
      </c>
      <c r="B16" s="266">
        <f t="shared" si="0"/>
        <v>0</v>
      </c>
      <c r="C16" s="367"/>
      <c r="D16" s="367"/>
      <c r="E16" s="367"/>
      <c r="F16" s="367"/>
      <c r="G16" s="268">
        <f t="shared" si="1"/>
        <v>0</v>
      </c>
      <c r="H16" s="362"/>
      <c r="I16" s="362"/>
      <c r="J16" s="362"/>
      <c r="K16" s="362"/>
    </row>
    <row r="17" spans="1:11" ht="33.75" hidden="1">
      <c r="A17" s="222" t="s">
        <v>149</v>
      </c>
      <c r="B17" s="266">
        <f t="shared" si="0"/>
        <v>1646</v>
      </c>
      <c r="C17" s="367">
        <v>0</v>
      </c>
      <c r="D17" s="367">
        <v>0</v>
      </c>
      <c r="E17" s="367">
        <v>101</v>
      </c>
      <c r="F17" s="367">
        <v>1545</v>
      </c>
      <c r="G17" s="268">
        <f t="shared" si="1"/>
        <v>25</v>
      </c>
      <c r="H17" s="362">
        <v>11</v>
      </c>
      <c r="I17" s="362">
        <v>11</v>
      </c>
      <c r="J17" s="362">
        <v>25</v>
      </c>
      <c r="K17" s="362">
        <v>11</v>
      </c>
    </row>
    <row r="18" spans="1:11" ht="34.5" hidden="1" thickBot="1">
      <c r="A18" s="105" t="s">
        <v>150</v>
      </c>
      <c r="B18" s="622">
        <f t="shared" si="0"/>
        <v>16790</v>
      </c>
      <c r="C18" s="368">
        <f>SUM(C10:C17)</f>
        <v>11003</v>
      </c>
      <c r="D18" s="368">
        <f>SUM(D10:D17)</f>
        <v>4140</v>
      </c>
      <c r="E18" s="368">
        <f>SUM(E10:E17)</f>
        <v>6893</v>
      </c>
      <c r="F18" s="368">
        <f>SUM(F10:F17)</f>
        <v>20900</v>
      </c>
      <c r="G18" s="624">
        <f t="shared" si="1"/>
        <v>6578</v>
      </c>
      <c r="H18" s="374">
        <f>SUM(H10:H17)</f>
        <v>16121</v>
      </c>
      <c r="I18" s="374">
        <f>SUM(I10:I17)</f>
        <v>15203</v>
      </c>
      <c r="J18" s="374">
        <f>SUM(J10:J17)</f>
        <v>14508</v>
      </c>
      <c r="K18" s="374">
        <f>SUM(K10:K17)</f>
        <v>8191</v>
      </c>
    </row>
    <row r="19" spans="1:11" ht="24" hidden="1" thickBot="1" thickTop="1">
      <c r="A19" s="569" t="s">
        <v>465</v>
      </c>
      <c r="B19" s="627">
        <f t="shared" si="0"/>
        <v>2796</v>
      </c>
      <c r="C19" s="628">
        <v>94</v>
      </c>
      <c r="D19" s="628">
        <v>90</v>
      </c>
      <c r="E19" s="628">
        <v>629</v>
      </c>
      <c r="F19" s="628">
        <v>2261</v>
      </c>
      <c r="G19" s="630">
        <f t="shared" si="1"/>
        <v>326</v>
      </c>
      <c r="H19" s="631">
        <v>252</v>
      </c>
      <c r="I19" s="631">
        <v>252</v>
      </c>
      <c r="J19" s="631">
        <v>538</v>
      </c>
      <c r="K19" s="631">
        <v>40</v>
      </c>
    </row>
    <row r="20" spans="1:11" ht="22.5">
      <c r="A20" s="107" t="s">
        <v>152</v>
      </c>
      <c r="B20" s="618">
        <f t="shared" si="0"/>
        <v>2779</v>
      </c>
      <c r="C20" s="625">
        <v>3084</v>
      </c>
      <c r="D20" s="625">
        <v>1676</v>
      </c>
      <c r="E20" s="625">
        <v>1280</v>
      </c>
      <c r="F20" s="625">
        <v>4583</v>
      </c>
      <c r="G20" s="619">
        <f t="shared" si="1"/>
        <v>875</v>
      </c>
      <c r="H20" s="636">
        <v>4883</v>
      </c>
      <c r="I20" s="636">
        <v>3555</v>
      </c>
      <c r="J20" s="636">
        <v>4438</v>
      </c>
      <c r="K20" s="636">
        <v>1320</v>
      </c>
    </row>
    <row r="21" spans="1:11" ht="33.75" hidden="1">
      <c r="A21" s="104" t="s">
        <v>153</v>
      </c>
      <c r="B21" s="266">
        <f t="shared" si="0"/>
        <v>1340</v>
      </c>
      <c r="C21" s="367">
        <v>48</v>
      </c>
      <c r="D21" s="367">
        <v>48</v>
      </c>
      <c r="E21" s="367">
        <v>1388</v>
      </c>
      <c r="F21" s="367">
        <v>0</v>
      </c>
      <c r="G21" s="268">
        <f t="shared" si="1"/>
        <v>41</v>
      </c>
      <c r="H21" s="615">
        <v>77</v>
      </c>
      <c r="I21" s="615">
        <v>77</v>
      </c>
      <c r="J21" s="615">
        <v>118</v>
      </c>
      <c r="K21" s="615">
        <v>0</v>
      </c>
    </row>
    <row r="22" spans="1:11" ht="34.5" hidden="1" thickBot="1">
      <c r="A22" s="108" t="s">
        <v>154</v>
      </c>
      <c r="B22" s="634">
        <f t="shared" si="0"/>
        <v>6915</v>
      </c>
      <c r="C22" s="368">
        <f>SUM(C19:C21)</f>
        <v>3226</v>
      </c>
      <c r="D22" s="368">
        <f>SUM(D19:D21)</f>
        <v>1814</v>
      </c>
      <c r="E22" s="368">
        <f>SUM(E19:E21)</f>
        <v>3297</v>
      </c>
      <c r="F22" s="368">
        <f>SUM(F19:F21)</f>
        <v>6844</v>
      </c>
      <c r="G22" s="624">
        <f t="shared" si="1"/>
        <v>1242</v>
      </c>
      <c r="H22" s="635">
        <f>SUM(H19:H21)</f>
        <v>5212</v>
      </c>
      <c r="I22" s="635">
        <f>SUM(I19:I21)</f>
        <v>3884</v>
      </c>
      <c r="J22" s="635">
        <f>SUM(J19:J21)</f>
        <v>5094</v>
      </c>
      <c r="K22" s="635">
        <f>SUM(K19:K21)</f>
        <v>1360</v>
      </c>
    </row>
    <row r="23" spans="1:11" ht="33.75">
      <c r="A23" s="107" t="s">
        <v>155</v>
      </c>
      <c r="B23" s="632">
        <f t="shared" si="0"/>
        <v>6982</v>
      </c>
      <c r="C23" s="576">
        <v>6524</v>
      </c>
      <c r="D23" s="576">
        <v>2224</v>
      </c>
      <c r="E23" s="576">
        <v>3576</v>
      </c>
      <c r="F23" s="576">
        <v>9930</v>
      </c>
      <c r="G23" s="619">
        <f t="shared" si="1"/>
        <v>1237</v>
      </c>
      <c r="H23" s="621">
        <v>4183</v>
      </c>
      <c r="I23" s="621">
        <v>3989</v>
      </c>
      <c r="J23" s="621">
        <v>4558</v>
      </c>
      <c r="K23" s="621">
        <v>862</v>
      </c>
    </row>
    <row r="24" spans="1:11" ht="33.75" hidden="1">
      <c r="A24" s="104" t="s">
        <v>156</v>
      </c>
      <c r="B24" s="575">
        <f t="shared" si="0"/>
        <v>1273</v>
      </c>
      <c r="C24" s="577">
        <v>46</v>
      </c>
      <c r="D24" s="577">
        <v>46</v>
      </c>
      <c r="E24" s="577">
        <v>1319</v>
      </c>
      <c r="F24" s="577">
        <v>0</v>
      </c>
      <c r="G24" s="268">
        <f t="shared" si="1"/>
        <v>80</v>
      </c>
      <c r="H24" s="682">
        <v>30</v>
      </c>
      <c r="I24" s="682">
        <v>30</v>
      </c>
      <c r="J24" s="682">
        <v>110</v>
      </c>
      <c r="K24" s="361">
        <v>0</v>
      </c>
    </row>
    <row r="25" spans="1:11" ht="33.75" hidden="1">
      <c r="A25" s="219" t="s">
        <v>157</v>
      </c>
      <c r="B25" s="575">
        <f t="shared" si="0"/>
        <v>1844</v>
      </c>
      <c r="C25" s="578">
        <v>70</v>
      </c>
      <c r="D25" s="578">
        <v>70</v>
      </c>
      <c r="E25" s="578">
        <v>1914</v>
      </c>
      <c r="F25" s="578">
        <v>0</v>
      </c>
      <c r="G25" s="268">
        <f t="shared" si="1"/>
        <v>77</v>
      </c>
      <c r="H25" s="682">
        <v>44</v>
      </c>
      <c r="I25" s="682">
        <v>44</v>
      </c>
      <c r="J25" s="682">
        <v>121</v>
      </c>
      <c r="K25" s="376">
        <v>0</v>
      </c>
    </row>
    <row r="26" spans="1:11" ht="33.75" hidden="1">
      <c r="A26" s="222" t="s">
        <v>158</v>
      </c>
      <c r="B26" s="575">
        <f t="shared" si="0"/>
        <v>1324</v>
      </c>
      <c r="C26" s="577">
        <v>28</v>
      </c>
      <c r="D26" s="577">
        <v>28</v>
      </c>
      <c r="E26" s="577">
        <v>1352</v>
      </c>
      <c r="F26" s="577">
        <v>0</v>
      </c>
      <c r="G26" s="268">
        <f t="shared" si="1"/>
        <v>65</v>
      </c>
      <c r="H26" s="682">
        <v>22</v>
      </c>
      <c r="I26" s="682">
        <v>22</v>
      </c>
      <c r="J26" s="682">
        <v>87</v>
      </c>
      <c r="K26" s="361">
        <v>0</v>
      </c>
    </row>
    <row r="27" spans="1:11" ht="34.5" hidden="1" thickBot="1">
      <c r="A27" s="348" t="s">
        <v>159</v>
      </c>
      <c r="B27" s="638">
        <f t="shared" si="0"/>
        <v>11423</v>
      </c>
      <c r="C27" s="579">
        <f>SUM(C23:C26)</f>
        <v>6668</v>
      </c>
      <c r="D27" s="579">
        <f>SUM(D23:D26)</f>
        <v>2368</v>
      </c>
      <c r="E27" s="579">
        <f>SUM(E23:E26)</f>
        <v>8161</v>
      </c>
      <c r="F27" s="579">
        <f>SUM(F23:F26)</f>
        <v>9930</v>
      </c>
      <c r="G27" s="624">
        <f t="shared" si="1"/>
        <v>1459</v>
      </c>
      <c r="H27" s="374">
        <f>SUM(H23:H26)</f>
        <v>4279</v>
      </c>
      <c r="I27" s="374">
        <f>SUM(I23:I26)</f>
        <v>4085</v>
      </c>
      <c r="J27" s="374">
        <f>SUM(J23:J26)</f>
        <v>4876</v>
      </c>
      <c r="K27" s="374">
        <f>SUM(K23:K26)</f>
        <v>862</v>
      </c>
    </row>
    <row r="28" spans="1:11" ht="23.25" hidden="1" thickBot="1">
      <c r="A28" s="569" t="s">
        <v>5</v>
      </c>
      <c r="B28" s="637">
        <f>SUM(B9,B18,B22,B27)</f>
        <v>38620</v>
      </c>
      <c r="C28" s="634">
        <f>SUM(C9,C18,C22,C27)</f>
        <v>22910</v>
      </c>
      <c r="D28" s="634">
        <f>SUM(D9,D18,D22,D27)</f>
        <v>8941</v>
      </c>
      <c r="E28" s="634">
        <f>SUM(E9,E18,E22,E27)</f>
        <v>19011</v>
      </c>
      <c r="F28" s="634">
        <f>SUM(F9,F18,F22,F27)</f>
        <v>42519</v>
      </c>
      <c r="G28" s="639">
        <f t="shared" si="1"/>
        <v>10078</v>
      </c>
      <c r="H28" s="635">
        <f>H9+H18+H22+H27</f>
        <v>26930</v>
      </c>
      <c r="I28" s="635">
        <f>I9+I18+I22+I27</f>
        <v>24426</v>
      </c>
      <c r="J28" s="635">
        <f>J9+J18+J22+J27</f>
        <v>26219</v>
      </c>
      <c r="K28" s="635">
        <f>K9+K18+K22+K27</f>
        <v>10789</v>
      </c>
    </row>
    <row r="55" ht="12.75"/>
  </sheetData>
  <sheetProtection/>
  <mergeCells count="3">
    <mergeCell ref="A4:A5"/>
    <mergeCell ref="B4:F4"/>
    <mergeCell ref="G4:K4"/>
  </mergeCells>
  <printOptions/>
  <pageMargins left="0.7" right="0.7" top="0.75" bottom="0.75" header="0.3" footer="0.3"/>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sheetPr>
    <tabColor rgb="FF92D050"/>
  </sheetPr>
  <dimension ref="A2:L136"/>
  <sheetViews>
    <sheetView zoomScalePageLayoutView="0" workbookViewId="0" topLeftCell="A19">
      <selection activeCell="I28" sqref="I28"/>
    </sheetView>
  </sheetViews>
  <sheetFormatPr defaultColWidth="9.140625" defaultRowHeight="12.75"/>
  <cols>
    <col min="1" max="1" width="13.8515625" style="342" customWidth="1"/>
    <col min="2" max="3" width="9.421875" style="342" customWidth="1"/>
    <col min="4" max="4" width="7.7109375" style="342" customWidth="1"/>
    <col min="5" max="5" width="9.421875" style="342" customWidth="1"/>
    <col min="6" max="6" width="8.7109375" style="342" customWidth="1"/>
    <col min="7" max="7" width="10.57421875" style="342" customWidth="1"/>
    <col min="8" max="8" width="8.28125" style="342" customWidth="1"/>
    <col min="9" max="16384" width="9.140625" style="342" customWidth="1"/>
  </cols>
  <sheetData>
    <row r="1" ht="12"/>
    <row r="2" spans="1:8" s="179" customFormat="1" ht="12">
      <c r="A2" s="837" t="s">
        <v>250</v>
      </c>
      <c r="B2" s="837"/>
      <c r="C2" s="837"/>
      <c r="D2" s="837"/>
      <c r="E2" s="837"/>
      <c r="F2" s="837"/>
      <c r="G2" s="837"/>
      <c r="H2" s="837"/>
    </row>
    <row r="3" spans="1:8" s="179" customFormat="1" ht="11.25" customHeight="1">
      <c r="A3" s="838" t="s">
        <v>387</v>
      </c>
      <c r="B3" s="838"/>
      <c r="C3" s="838"/>
      <c r="D3" s="838"/>
      <c r="E3" s="838"/>
      <c r="F3" s="838"/>
      <c r="G3" s="838"/>
      <c r="H3" s="838"/>
    </row>
    <row r="4" spans="1:8" s="179" customFormat="1" ht="25.5" customHeight="1">
      <c r="A4" s="186" t="s">
        <v>201</v>
      </c>
      <c r="B4" s="186" t="s">
        <v>390</v>
      </c>
      <c r="C4" s="187" t="s">
        <v>232</v>
      </c>
      <c r="D4" s="187" t="s">
        <v>2</v>
      </c>
      <c r="E4" s="186" t="s">
        <v>389</v>
      </c>
      <c r="F4" s="188" t="s">
        <v>241</v>
      </c>
      <c r="G4" s="188" t="s">
        <v>224</v>
      </c>
      <c r="H4" s="188" t="s">
        <v>251</v>
      </c>
    </row>
    <row r="5" spans="1:8" s="179" customFormat="1" ht="11.25" customHeight="1">
      <c r="A5" s="836" t="s">
        <v>252</v>
      </c>
      <c r="B5" s="836"/>
      <c r="C5" s="836"/>
      <c r="D5" s="836"/>
      <c r="E5" s="836"/>
      <c r="F5" s="836"/>
      <c r="G5" s="836"/>
      <c r="H5" s="836"/>
    </row>
    <row r="6" spans="1:8" s="179" customFormat="1" ht="11.25" customHeight="1">
      <c r="A6" s="836" t="s">
        <v>23</v>
      </c>
      <c r="B6" s="836"/>
      <c r="C6" s="836"/>
      <c r="D6" s="836"/>
      <c r="E6" s="836"/>
      <c r="F6" s="836"/>
      <c r="G6" s="836"/>
      <c r="H6" s="836"/>
    </row>
    <row r="7" spans="1:8" s="179" customFormat="1" ht="33.75">
      <c r="A7" s="332" t="s">
        <v>253</v>
      </c>
      <c r="B7" s="189">
        <f aca="true" t="shared" si="0" ref="B7:B13">E7+D7-C7</f>
        <v>3</v>
      </c>
      <c r="C7" s="189">
        <v>2</v>
      </c>
      <c r="D7" s="189">
        <v>4</v>
      </c>
      <c r="E7" s="189">
        <v>1</v>
      </c>
      <c r="F7" s="190">
        <f>IF(B7&gt;0,(E7-B7)/B7,"-")</f>
        <v>-0.6666666666666666</v>
      </c>
      <c r="G7" s="191">
        <f>IF((B7+C7)&gt;0,D7/(B7+C7),"-")</f>
        <v>0.8</v>
      </c>
      <c r="H7" s="192">
        <f>IF((C7+D7)&gt;0,(B7+E7)/(C7+D7),"-")</f>
        <v>0.6666666666666666</v>
      </c>
    </row>
    <row r="8" spans="1:8" s="179" customFormat="1" ht="33.75">
      <c r="A8" s="333" t="s">
        <v>254</v>
      </c>
      <c r="B8" s="189">
        <f t="shared" si="0"/>
        <v>1</v>
      </c>
      <c r="C8" s="193">
        <v>0</v>
      </c>
      <c r="D8" s="193">
        <v>1</v>
      </c>
      <c r="E8" s="193">
        <v>0</v>
      </c>
      <c r="F8" s="190">
        <f aca="true" t="shared" si="1" ref="F8:F13">IF(B8&gt;0,(E8-B8)/B8,"-")</f>
        <v>-1</v>
      </c>
      <c r="G8" s="191">
        <f aca="true" t="shared" si="2" ref="G8:G13">IF((B8+C8)&gt;0,D8/(B8+C8),"-")</f>
        <v>1</v>
      </c>
      <c r="H8" s="192">
        <f aca="true" t="shared" si="3" ref="H8:H13">IF((C8+D8)&gt;0,(B8+E8)/(C8+D8),"-")</f>
        <v>1</v>
      </c>
    </row>
    <row r="9" spans="1:8" s="179" customFormat="1" ht="33.75">
      <c r="A9" s="333" t="s">
        <v>255</v>
      </c>
      <c r="B9" s="189">
        <f t="shared" si="0"/>
        <v>1</v>
      </c>
      <c r="C9" s="193">
        <v>0</v>
      </c>
      <c r="D9" s="193">
        <v>0</v>
      </c>
      <c r="E9" s="193">
        <v>1</v>
      </c>
      <c r="F9" s="190">
        <f t="shared" si="1"/>
        <v>0</v>
      </c>
      <c r="G9" s="191">
        <f t="shared" si="2"/>
        <v>0</v>
      </c>
      <c r="H9" s="192" t="str">
        <f t="shared" si="3"/>
        <v>-</v>
      </c>
    </row>
    <row r="10" spans="1:8" s="179" customFormat="1" ht="45">
      <c r="A10" s="333" t="s">
        <v>256</v>
      </c>
      <c r="B10" s="189">
        <f t="shared" si="0"/>
        <v>28</v>
      </c>
      <c r="C10" s="193">
        <v>10</v>
      </c>
      <c r="D10" s="193">
        <v>6</v>
      </c>
      <c r="E10" s="193">
        <v>32</v>
      </c>
      <c r="F10" s="190">
        <f t="shared" si="1"/>
        <v>0.14285714285714285</v>
      </c>
      <c r="G10" s="191">
        <f t="shared" si="2"/>
        <v>0.15789473684210525</v>
      </c>
      <c r="H10" s="192">
        <f t="shared" si="3"/>
        <v>3.75</v>
      </c>
    </row>
    <row r="11" spans="1:8" s="179" customFormat="1" ht="45">
      <c r="A11" s="333" t="s">
        <v>257</v>
      </c>
      <c r="B11" s="189">
        <f t="shared" si="0"/>
        <v>0</v>
      </c>
      <c r="C11" s="193">
        <v>0</v>
      </c>
      <c r="D11" s="193">
        <v>0</v>
      </c>
      <c r="E11" s="193">
        <v>0</v>
      </c>
      <c r="F11" s="190" t="str">
        <f t="shared" si="1"/>
        <v>-</v>
      </c>
      <c r="G11" s="191" t="str">
        <f t="shared" si="2"/>
        <v>-</v>
      </c>
      <c r="H11" s="192" t="str">
        <f t="shared" si="3"/>
        <v>-</v>
      </c>
    </row>
    <row r="12" spans="1:8" s="179" customFormat="1" ht="45">
      <c r="A12" s="333" t="s">
        <v>258</v>
      </c>
      <c r="B12" s="189">
        <f t="shared" si="0"/>
        <v>0</v>
      </c>
      <c r="C12" s="193">
        <v>0</v>
      </c>
      <c r="D12" s="193">
        <v>0</v>
      </c>
      <c r="E12" s="193">
        <v>0</v>
      </c>
      <c r="F12" s="190" t="str">
        <f t="shared" si="1"/>
        <v>-</v>
      </c>
      <c r="G12" s="191" t="str">
        <f t="shared" si="2"/>
        <v>-</v>
      </c>
      <c r="H12" s="192" t="str">
        <f t="shared" si="3"/>
        <v>-</v>
      </c>
    </row>
    <row r="13" spans="1:8" s="179" customFormat="1" ht="33.75">
      <c r="A13" s="333" t="s">
        <v>259</v>
      </c>
      <c r="B13" s="189">
        <f t="shared" si="0"/>
        <v>210</v>
      </c>
      <c r="C13" s="193">
        <v>47</v>
      </c>
      <c r="D13" s="193">
        <v>76</v>
      </c>
      <c r="E13" s="193">
        <v>181</v>
      </c>
      <c r="F13" s="190">
        <f t="shared" si="1"/>
        <v>-0.1380952380952381</v>
      </c>
      <c r="G13" s="191">
        <f t="shared" si="2"/>
        <v>0.29571984435797666</v>
      </c>
      <c r="H13" s="192">
        <f t="shared" si="3"/>
        <v>3.178861788617886</v>
      </c>
    </row>
    <row r="14" spans="1:8" s="179" customFormat="1" ht="11.25" customHeight="1">
      <c r="A14" s="836" t="s">
        <v>283</v>
      </c>
      <c r="B14" s="836"/>
      <c r="C14" s="836"/>
      <c r="D14" s="836"/>
      <c r="E14" s="836"/>
      <c r="F14" s="836"/>
      <c r="G14" s="836"/>
      <c r="H14" s="836"/>
    </row>
    <row r="15" spans="1:8" s="179" customFormat="1" ht="33.75">
      <c r="A15" s="333" t="s">
        <v>253</v>
      </c>
      <c r="B15" s="189">
        <f aca="true" t="shared" si="4" ref="B15:B20">E15+D15-C15</f>
        <v>0</v>
      </c>
      <c r="C15" s="193">
        <v>15</v>
      </c>
      <c r="D15" s="193">
        <v>10</v>
      </c>
      <c r="E15" s="193">
        <v>5</v>
      </c>
      <c r="F15" s="190" t="str">
        <f aca="true" t="shared" si="5" ref="F15:F20">IF(B15&gt;0,(E15-B15)/B15,"-")</f>
        <v>-</v>
      </c>
      <c r="G15" s="191">
        <f aca="true" t="shared" si="6" ref="G15:G20">IF((B15+C15)&gt;0,D15/(B15+C15),"-")</f>
        <v>0.6666666666666666</v>
      </c>
      <c r="H15" s="192">
        <f aca="true" t="shared" si="7" ref="H15:H20">IF((C15+D15)&gt;0,(B15+E15)/(C15+D15),"-")</f>
        <v>0.2</v>
      </c>
    </row>
    <row r="16" spans="1:8" s="179" customFormat="1" ht="33.75">
      <c r="A16" s="333" t="s">
        <v>254</v>
      </c>
      <c r="B16" s="189">
        <f t="shared" si="4"/>
        <v>3</v>
      </c>
      <c r="C16" s="193">
        <v>5</v>
      </c>
      <c r="D16" s="193">
        <v>4</v>
      </c>
      <c r="E16" s="193">
        <v>4</v>
      </c>
      <c r="F16" s="190">
        <f t="shared" si="5"/>
        <v>0.3333333333333333</v>
      </c>
      <c r="G16" s="191">
        <f t="shared" si="6"/>
        <v>0.5</v>
      </c>
      <c r="H16" s="192">
        <f t="shared" si="7"/>
        <v>0.7777777777777778</v>
      </c>
    </row>
    <row r="17" spans="1:8" s="179" customFormat="1" ht="33.75">
      <c r="A17" s="333" t="s">
        <v>255</v>
      </c>
      <c r="B17" s="189">
        <f t="shared" si="4"/>
        <v>0</v>
      </c>
      <c r="C17" s="193">
        <v>1</v>
      </c>
      <c r="D17" s="193">
        <v>1</v>
      </c>
      <c r="E17" s="193">
        <v>0</v>
      </c>
      <c r="F17" s="190" t="str">
        <f t="shared" si="5"/>
        <v>-</v>
      </c>
      <c r="G17" s="191">
        <f t="shared" si="6"/>
        <v>1</v>
      </c>
      <c r="H17" s="192">
        <f t="shared" si="7"/>
        <v>0</v>
      </c>
    </row>
    <row r="18" spans="1:8" s="179" customFormat="1" ht="56.25">
      <c r="A18" s="333" t="s">
        <v>260</v>
      </c>
      <c r="B18" s="189">
        <f t="shared" si="4"/>
        <v>15</v>
      </c>
      <c r="C18" s="193">
        <v>265</v>
      </c>
      <c r="D18" s="193">
        <v>211</v>
      </c>
      <c r="E18" s="193">
        <v>69</v>
      </c>
      <c r="F18" s="190">
        <f t="shared" si="5"/>
        <v>3.6</v>
      </c>
      <c r="G18" s="191">
        <f t="shared" si="6"/>
        <v>0.7535714285714286</v>
      </c>
      <c r="H18" s="192">
        <f t="shared" si="7"/>
        <v>0.17647058823529413</v>
      </c>
    </row>
    <row r="19" spans="1:8" s="179" customFormat="1" ht="22.5">
      <c r="A19" s="333" t="s">
        <v>281</v>
      </c>
      <c r="B19" s="189">
        <f t="shared" si="4"/>
        <v>11</v>
      </c>
      <c r="C19" s="193">
        <v>9</v>
      </c>
      <c r="D19" s="193">
        <v>13</v>
      </c>
      <c r="E19" s="193">
        <v>7</v>
      </c>
      <c r="F19" s="190">
        <f t="shared" si="5"/>
        <v>-0.36363636363636365</v>
      </c>
      <c r="G19" s="191">
        <f t="shared" si="6"/>
        <v>0.65</v>
      </c>
      <c r="H19" s="192">
        <f t="shared" si="7"/>
        <v>0.8181818181818182</v>
      </c>
    </row>
    <row r="20" spans="1:8" s="339" customFormat="1" ht="22.5">
      <c r="A20" s="334" t="s">
        <v>261</v>
      </c>
      <c r="B20" s="335">
        <f t="shared" si="4"/>
        <v>272</v>
      </c>
      <c r="C20" s="335">
        <f>SUM(C15:C19,C7:C13)</f>
        <v>354</v>
      </c>
      <c r="D20" s="335">
        <f>SUM(D15:D19,D7:D13)</f>
        <v>326</v>
      </c>
      <c r="E20" s="335">
        <f>SUM(E15:E19,E7:E13)</f>
        <v>300</v>
      </c>
      <c r="F20" s="336">
        <f t="shared" si="5"/>
        <v>0.10294117647058823</v>
      </c>
      <c r="G20" s="337">
        <f t="shared" si="6"/>
        <v>0.5207667731629393</v>
      </c>
      <c r="H20" s="338">
        <f t="shared" si="7"/>
        <v>0.8411764705882353</v>
      </c>
    </row>
    <row r="21" spans="1:8" s="179" customFormat="1" ht="12">
      <c r="A21" s="836" t="s">
        <v>262</v>
      </c>
      <c r="B21" s="836"/>
      <c r="C21" s="836"/>
      <c r="D21" s="836"/>
      <c r="E21" s="836"/>
      <c r="F21" s="836"/>
      <c r="G21" s="836"/>
      <c r="H21" s="836"/>
    </row>
    <row r="22" spans="1:8" s="179" customFormat="1" ht="12">
      <c r="A22" s="836" t="s">
        <v>23</v>
      </c>
      <c r="B22" s="836"/>
      <c r="C22" s="836"/>
      <c r="D22" s="836"/>
      <c r="E22" s="836"/>
      <c r="F22" s="836"/>
      <c r="G22" s="836"/>
      <c r="H22" s="836"/>
    </row>
    <row r="23" spans="1:8" s="179" customFormat="1" ht="22.5">
      <c r="A23" s="340" t="s">
        <v>12</v>
      </c>
      <c r="B23" s="196">
        <f aca="true" t="shared" si="8" ref="B23:B35">E23+D23-C23</f>
        <v>8213</v>
      </c>
      <c r="C23" s="196">
        <v>1592</v>
      </c>
      <c r="D23" s="196">
        <v>1949</v>
      </c>
      <c r="E23" s="196">
        <v>7856</v>
      </c>
      <c r="F23" s="190">
        <f aca="true" t="shared" si="9" ref="F23:F35">IF(B23&gt;0,(E23-B23)/B23,"-")</f>
        <v>-0.043467673201022766</v>
      </c>
      <c r="G23" s="190">
        <f aca="true" t="shared" si="10" ref="G23:G35">IF((B23+C23)&gt;0,D23/(B23+C23),"-")</f>
        <v>0.19877613462519123</v>
      </c>
      <c r="H23" s="192">
        <f aca="true" t="shared" si="11" ref="H23:H35">IF((C23+D23)&gt;0,(B23+E23)/(C23+D23),"-")</f>
        <v>4.537983620446202</v>
      </c>
    </row>
    <row r="24" spans="1:8" s="179" customFormat="1" ht="33.75">
      <c r="A24" s="333" t="s">
        <v>263</v>
      </c>
      <c r="B24" s="193">
        <f t="shared" si="8"/>
        <v>0</v>
      </c>
      <c r="C24" s="193">
        <v>0</v>
      </c>
      <c r="D24" s="193">
        <v>0</v>
      </c>
      <c r="E24" s="193">
        <v>0</v>
      </c>
      <c r="F24" s="190" t="str">
        <f t="shared" si="9"/>
        <v>-</v>
      </c>
      <c r="G24" s="190" t="str">
        <f t="shared" si="10"/>
        <v>-</v>
      </c>
      <c r="H24" s="192" t="str">
        <f t="shared" si="11"/>
        <v>-</v>
      </c>
    </row>
    <row r="25" spans="1:8" s="179" customFormat="1" ht="22.5">
      <c r="A25" s="333" t="s">
        <v>264</v>
      </c>
      <c r="B25" s="193">
        <f t="shared" si="8"/>
        <v>20</v>
      </c>
      <c r="C25" s="193">
        <v>9</v>
      </c>
      <c r="D25" s="193">
        <v>6</v>
      </c>
      <c r="E25" s="193">
        <v>23</v>
      </c>
      <c r="F25" s="190">
        <f t="shared" si="9"/>
        <v>0.15</v>
      </c>
      <c r="G25" s="194">
        <f t="shared" si="10"/>
        <v>0.20689655172413793</v>
      </c>
      <c r="H25" s="195">
        <f t="shared" si="11"/>
        <v>2.8666666666666667</v>
      </c>
    </row>
    <row r="26" spans="1:8" s="179" customFormat="1" ht="45">
      <c r="A26" s="333" t="s">
        <v>265</v>
      </c>
      <c r="B26" s="193">
        <f t="shared" si="8"/>
        <v>2</v>
      </c>
      <c r="C26" s="193">
        <v>0</v>
      </c>
      <c r="D26" s="193">
        <v>2</v>
      </c>
      <c r="E26" s="193">
        <v>0</v>
      </c>
      <c r="F26" s="194">
        <f t="shared" si="9"/>
        <v>-1</v>
      </c>
      <c r="G26" s="194">
        <f t="shared" si="10"/>
        <v>1</v>
      </c>
      <c r="H26" s="195">
        <f t="shared" si="11"/>
        <v>1</v>
      </c>
    </row>
    <row r="27" spans="1:11" s="179" customFormat="1" ht="45">
      <c r="A27" s="333" t="s">
        <v>266</v>
      </c>
      <c r="B27" s="193">
        <f t="shared" si="8"/>
        <v>727</v>
      </c>
      <c r="C27" s="193">
        <v>246</v>
      </c>
      <c r="D27" s="193">
        <v>215</v>
      </c>
      <c r="E27" s="193">
        <v>758</v>
      </c>
      <c r="F27" s="194">
        <f t="shared" si="9"/>
        <v>0.04264099037138927</v>
      </c>
      <c r="G27" s="194">
        <f t="shared" si="10"/>
        <v>0.2209660842754368</v>
      </c>
      <c r="H27" s="195">
        <f t="shared" si="11"/>
        <v>3.2212581344902387</v>
      </c>
      <c r="I27" s="341"/>
      <c r="J27" s="341"/>
      <c r="K27" s="341"/>
    </row>
    <row r="28" spans="1:11" s="179" customFormat="1" ht="33.75">
      <c r="A28" s="333" t="s">
        <v>267</v>
      </c>
      <c r="B28" s="193">
        <f t="shared" si="8"/>
        <v>1563</v>
      </c>
      <c r="C28" s="193">
        <v>378</v>
      </c>
      <c r="D28" s="193">
        <v>486</v>
      </c>
      <c r="E28" s="193">
        <v>1455</v>
      </c>
      <c r="F28" s="194">
        <f t="shared" si="9"/>
        <v>-0.0690978886756238</v>
      </c>
      <c r="G28" s="194">
        <f t="shared" si="10"/>
        <v>0.250386398763524</v>
      </c>
      <c r="H28" s="195">
        <f t="shared" si="11"/>
        <v>3.4930555555555554</v>
      </c>
      <c r="I28" s="341">
        <f>SUM(C27:C29)</f>
        <v>1154</v>
      </c>
      <c r="J28" s="341">
        <f>SUM(D27:D29)</f>
        <v>1549</v>
      </c>
      <c r="K28" s="341">
        <f>SUM(E27:E29)</f>
        <v>4152</v>
      </c>
    </row>
    <row r="29" spans="1:8" s="179" customFormat="1" ht="45">
      <c r="A29" s="333" t="s">
        <v>268</v>
      </c>
      <c r="B29" s="193">
        <f t="shared" si="8"/>
        <v>2257</v>
      </c>
      <c r="C29" s="193">
        <v>530</v>
      </c>
      <c r="D29" s="193">
        <v>848</v>
      </c>
      <c r="E29" s="193">
        <v>1939</v>
      </c>
      <c r="F29" s="194">
        <f t="shared" si="9"/>
        <v>-0.14089499335400973</v>
      </c>
      <c r="G29" s="194">
        <f t="shared" si="10"/>
        <v>0.30426982418371007</v>
      </c>
      <c r="H29" s="195">
        <f t="shared" si="11"/>
        <v>3.0449927431059507</v>
      </c>
    </row>
    <row r="30" spans="1:8" s="179" customFormat="1" ht="45">
      <c r="A30" s="333" t="s">
        <v>282</v>
      </c>
      <c r="B30" s="193">
        <f t="shared" si="8"/>
        <v>72</v>
      </c>
      <c r="C30" s="193">
        <v>57</v>
      </c>
      <c r="D30" s="193">
        <v>50</v>
      </c>
      <c r="E30" s="193">
        <v>79</v>
      </c>
      <c r="F30" s="194">
        <f t="shared" si="9"/>
        <v>0.09722222222222222</v>
      </c>
      <c r="G30" s="194">
        <f t="shared" si="10"/>
        <v>0.3875968992248062</v>
      </c>
      <c r="H30" s="195">
        <f t="shared" si="11"/>
        <v>1.411214953271028</v>
      </c>
    </row>
    <row r="31" spans="1:8" s="179" customFormat="1" ht="33.75">
      <c r="A31" s="333" t="s">
        <v>276</v>
      </c>
      <c r="B31" s="193">
        <f t="shared" si="8"/>
        <v>61</v>
      </c>
      <c r="C31" s="193">
        <v>43</v>
      </c>
      <c r="D31" s="193">
        <v>44</v>
      </c>
      <c r="E31" s="193">
        <v>60</v>
      </c>
      <c r="F31" s="194">
        <f t="shared" si="9"/>
        <v>-0.01639344262295082</v>
      </c>
      <c r="G31" s="194">
        <f t="shared" si="10"/>
        <v>0.4230769230769231</v>
      </c>
      <c r="H31" s="195">
        <f t="shared" si="11"/>
        <v>1.3908045977011494</v>
      </c>
    </row>
    <row r="32" spans="1:12" s="179" customFormat="1" ht="33.75">
      <c r="A32" s="333" t="s">
        <v>277</v>
      </c>
      <c r="B32" s="193">
        <f t="shared" si="8"/>
        <v>3</v>
      </c>
      <c r="C32" s="193">
        <v>1</v>
      </c>
      <c r="D32" s="193">
        <v>2</v>
      </c>
      <c r="E32" s="193">
        <v>2</v>
      </c>
      <c r="F32" s="194">
        <f t="shared" si="9"/>
        <v>-0.3333333333333333</v>
      </c>
      <c r="G32" s="194">
        <f t="shared" si="10"/>
        <v>0.5</v>
      </c>
      <c r="H32" s="195">
        <f t="shared" si="11"/>
        <v>1.6666666666666667</v>
      </c>
      <c r="K32" s="339"/>
      <c r="L32" s="339"/>
    </row>
    <row r="33" spans="1:12" s="179" customFormat="1" ht="56.25">
      <c r="A33" s="333" t="s">
        <v>269</v>
      </c>
      <c r="B33" s="193">
        <f t="shared" si="8"/>
        <v>24</v>
      </c>
      <c r="C33" s="193">
        <v>3</v>
      </c>
      <c r="D33" s="193">
        <v>5</v>
      </c>
      <c r="E33" s="193">
        <v>22</v>
      </c>
      <c r="F33" s="194">
        <f t="shared" si="9"/>
        <v>-0.08333333333333333</v>
      </c>
      <c r="G33" s="194">
        <f t="shared" si="10"/>
        <v>0.18518518518518517</v>
      </c>
      <c r="H33" s="195">
        <f t="shared" si="11"/>
        <v>5.75</v>
      </c>
      <c r="K33" s="339"/>
      <c r="L33" s="339"/>
    </row>
    <row r="34" spans="1:12" s="179" customFormat="1" ht="45">
      <c r="A34" s="333" t="s">
        <v>270</v>
      </c>
      <c r="B34" s="193">
        <f t="shared" si="8"/>
        <v>4</v>
      </c>
      <c r="C34" s="193">
        <v>0</v>
      </c>
      <c r="D34" s="193">
        <v>0</v>
      </c>
      <c r="E34" s="193">
        <v>4</v>
      </c>
      <c r="F34" s="194">
        <f t="shared" si="9"/>
        <v>0</v>
      </c>
      <c r="G34" s="194">
        <f t="shared" si="10"/>
        <v>0</v>
      </c>
      <c r="H34" s="195" t="str">
        <f t="shared" si="11"/>
        <v>-</v>
      </c>
      <c r="K34" s="342"/>
      <c r="L34" s="342"/>
    </row>
    <row r="35" spans="1:12" s="179" customFormat="1" ht="33.75">
      <c r="A35" s="333" t="s">
        <v>259</v>
      </c>
      <c r="B35" s="193">
        <f t="shared" si="8"/>
        <v>42</v>
      </c>
      <c r="C35" s="193">
        <v>16</v>
      </c>
      <c r="D35" s="193">
        <v>14</v>
      </c>
      <c r="E35" s="193">
        <v>44</v>
      </c>
      <c r="F35" s="190">
        <f t="shared" si="9"/>
        <v>0.047619047619047616</v>
      </c>
      <c r="G35" s="190">
        <f t="shared" si="10"/>
        <v>0.2413793103448276</v>
      </c>
      <c r="H35" s="192">
        <f t="shared" si="11"/>
        <v>2.8666666666666667</v>
      </c>
      <c r="K35" s="342"/>
      <c r="L35" s="342"/>
    </row>
    <row r="36" spans="1:12" s="179" customFormat="1" ht="12">
      <c r="A36" s="836" t="s">
        <v>283</v>
      </c>
      <c r="B36" s="836"/>
      <c r="C36" s="836"/>
      <c r="D36" s="836"/>
      <c r="E36" s="836"/>
      <c r="F36" s="836"/>
      <c r="G36" s="836"/>
      <c r="H36" s="836"/>
      <c r="K36" s="342"/>
      <c r="L36" s="342"/>
    </row>
    <row r="37" spans="1:12" s="179" customFormat="1" ht="45">
      <c r="A37" s="340" t="s">
        <v>278</v>
      </c>
      <c r="B37" s="196">
        <f>E37+D37-C37</f>
        <v>33</v>
      </c>
      <c r="C37" s="196">
        <v>43</v>
      </c>
      <c r="D37" s="196">
        <v>36</v>
      </c>
      <c r="E37" s="196">
        <v>40</v>
      </c>
      <c r="F37" s="190">
        <f aca="true" t="shared" si="12" ref="F37:F43">IF(B37&gt;0,(E37-B37)/B37,"-")</f>
        <v>0.21212121212121213</v>
      </c>
      <c r="G37" s="190">
        <f aca="true" t="shared" si="13" ref="G37:G43">IF((B37+C37)&gt;0,D37/(B37+C37),"-")</f>
        <v>0.47368421052631576</v>
      </c>
      <c r="H37" s="192">
        <f aca="true" t="shared" si="14" ref="H37:H43">IF((C37+D37)&gt;0,(B37+E37)/(C37+D37),"-")</f>
        <v>0.9240506329113924</v>
      </c>
      <c r="K37" s="342"/>
      <c r="L37" s="342"/>
    </row>
    <row r="38" spans="1:12" s="179" customFormat="1" ht="33.75">
      <c r="A38" s="333" t="s">
        <v>279</v>
      </c>
      <c r="B38" s="193">
        <f>E38+D38-C38</f>
        <v>26</v>
      </c>
      <c r="C38" s="193">
        <v>15</v>
      </c>
      <c r="D38" s="193">
        <v>25</v>
      </c>
      <c r="E38" s="193">
        <v>16</v>
      </c>
      <c r="F38" s="194">
        <f t="shared" si="12"/>
        <v>-0.38461538461538464</v>
      </c>
      <c r="G38" s="194">
        <f t="shared" si="13"/>
        <v>0.6097560975609756</v>
      </c>
      <c r="H38" s="195">
        <f t="shared" si="14"/>
        <v>1.05</v>
      </c>
      <c r="K38" s="342"/>
      <c r="L38" s="342"/>
    </row>
    <row r="39" spans="1:12" s="179" customFormat="1" ht="33.75">
      <c r="A39" s="333" t="s">
        <v>280</v>
      </c>
      <c r="B39" s="193">
        <f>E39+D39-C39</f>
        <v>19</v>
      </c>
      <c r="C39" s="193">
        <v>85</v>
      </c>
      <c r="D39" s="193">
        <v>79</v>
      </c>
      <c r="E39" s="193">
        <v>25</v>
      </c>
      <c r="F39" s="194">
        <f t="shared" si="12"/>
        <v>0.3157894736842105</v>
      </c>
      <c r="G39" s="194">
        <f t="shared" si="13"/>
        <v>0.7596153846153846</v>
      </c>
      <c r="H39" s="195">
        <f t="shared" si="14"/>
        <v>0.2682926829268293</v>
      </c>
      <c r="K39" s="342"/>
      <c r="L39" s="342"/>
    </row>
    <row r="40" spans="1:12" s="179" customFormat="1" ht="45">
      <c r="A40" s="333" t="s">
        <v>271</v>
      </c>
      <c r="B40" s="193">
        <f>E40+D40-C40</f>
        <v>0</v>
      </c>
      <c r="C40" s="193">
        <v>0</v>
      </c>
      <c r="D40" s="193">
        <v>0</v>
      </c>
      <c r="E40" s="193">
        <v>0</v>
      </c>
      <c r="F40" s="194" t="str">
        <f t="shared" si="12"/>
        <v>-</v>
      </c>
      <c r="G40" s="194" t="str">
        <f t="shared" si="13"/>
        <v>-</v>
      </c>
      <c r="H40" s="195" t="str">
        <f t="shared" si="14"/>
        <v>-</v>
      </c>
      <c r="K40" s="342"/>
      <c r="L40" s="342"/>
    </row>
    <row r="41" spans="1:12" s="179" customFormat="1" ht="22.5">
      <c r="A41" s="340" t="s">
        <v>281</v>
      </c>
      <c r="B41" s="193">
        <f>E41+D41-C41</f>
        <v>149</v>
      </c>
      <c r="C41" s="193">
        <v>296</v>
      </c>
      <c r="D41" s="193">
        <v>245</v>
      </c>
      <c r="E41" s="193">
        <v>200</v>
      </c>
      <c r="F41" s="197">
        <f t="shared" si="12"/>
        <v>0.3422818791946309</v>
      </c>
      <c r="G41" s="197">
        <f t="shared" si="13"/>
        <v>0.550561797752809</v>
      </c>
      <c r="H41" s="198">
        <f t="shared" si="14"/>
        <v>0.6451016635859519</v>
      </c>
      <c r="K41" s="342"/>
      <c r="L41" s="342"/>
    </row>
    <row r="42" spans="1:12" s="179" customFormat="1" ht="22.5">
      <c r="A42" s="317" t="s">
        <v>272</v>
      </c>
      <c r="B42" s="199">
        <f>SUM(B37:B41,B23:B35)</f>
        <v>13215</v>
      </c>
      <c r="C42" s="199">
        <f>SUM(C37:C41,C23:C35)</f>
        <v>3314</v>
      </c>
      <c r="D42" s="199">
        <f>SUM(D37:D41,D23:D35)</f>
        <v>4006</v>
      </c>
      <c r="E42" s="199">
        <f>SUM(E37:E41,E23:E35)</f>
        <v>12523</v>
      </c>
      <c r="F42" s="200">
        <f t="shared" si="12"/>
        <v>-0.05236473704124101</v>
      </c>
      <c r="G42" s="200">
        <f t="shared" si="13"/>
        <v>0.24236190937140784</v>
      </c>
      <c r="H42" s="201">
        <f t="shared" si="14"/>
        <v>3.516120218579235</v>
      </c>
      <c r="K42" s="342"/>
      <c r="L42" s="342"/>
    </row>
    <row r="43" spans="1:12" s="339" customFormat="1" ht="12.75" thickBot="1">
      <c r="A43" s="203" t="s">
        <v>273</v>
      </c>
      <c r="B43" s="202">
        <f>B42+B20</f>
        <v>13487</v>
      </c>
      <c r="C43" s="202">
        <f>C42+C20</f>
        <v>3668</v>
      </c>
      <c r="D43" s="202">
        <f>D42+D20</f>
        <v>4332</v>
      </c>
      <c r="E43" s="202">
        <f>E42+E20</f>
        <v>12823</v>
      </c>
      <c r="F43" s="203">
        <f t="shared" si="12"/>
        <v>-0.04923259435011493</v>
      </c>
      <c r="G43" s="204">
        <f t="shared" si="13"/>
        <v>0.2525211308656368</v>
      </c>
      <c r="H43" s="205">
        <f t="shared" si="14"/>
        <v>3.28875</v>
      </c>
      <c r="K43" s="342"/>
      <c r="L43" s="342"/>
    </row>
    <row r="44" spans="1:12" s="339" customFormat="1" ht="12">
      <c r="A44" s="343"/>
      <c r="B44" s="182"/>
      <c r="C44" s="182"/>
      <c r="D44" s="182"/>
      <c r="E44" s="182"/>
      <c r="K44" s="342"/>
      <c r="L44" s="342"/>
    </row>
    <row r="45" ht="12"/>
    <row r="46" ht="12"/>
    <row r="47" ht="12"/>
    <row r="48" spans="1:8" s="344" customFormat="1" ht="49.5" customHeight="1">
      <c r="A48" s="183" t="s">
        <v>201</v>
      </c>
      <c r="B48" s="183" t="s">
        <v>390</v>
      </c>
      <c r="C48" s="184" t="s">
        <v>232</v>
      </c>
      <c r="D48" s="184" t="s">
        <v>2</v>
      </c>
      <c r="E48" s="183" t="s">
        <v>389</v>
      </c>
      <c r="F48" s="185" t="s">
        <v>241</v>
      </c>
      <c r="G48" s="185" t="s">
        <v>224</v>
      </c>
      <c r="H48" s="185" t="s">
        <v>251</v>
      </c>
    </row>
    <row r="49" spans="1:8" ht="42.75" customHeight="1">
      <c r="A49" s="180" t="str">
        <f aca="true" t="shared" si="15" ref="A49:E55">A7</f>
        <v>Delibazioni ai sensi dell'art.8 L.121/85</v>
      </c>
      <c r="B49" s="180">
        <f t="shared" si="15"/>
        <v>3</v>
      </c>
      <c r="C49" s="180">
        <f t="shared" si="15"/>
        <v>2</v>
      </c>
      <c r="D49" s="180">
        <f t="shared" si="15"/>
        <v>4</v>
      </c>
      <c r="E49" s="180">
        <f t="shared" si="15"/>
        <v>1</v>
      </c>
      <c r="F49" s="190">
        <f aca="true" t="shared" si="16" ref="F49:F80">IF(B49&gt;0,(E49-B49)/B49,"-")</f>
        <v>-0.6666666666666666</v>
      </c>
      <c r="G49" s="191">
        <f aca="true" t="shared" si="17" ref="G49:G80">IF((B49+C49)&gt;0,D49/(B49+C49),"-")</f>
        <v>0.8</v>
      </c>
      <c r="H49" s="192">
        <f aca="true" t="shared" si="18" ref="H49:H80">IF((C49+D49)&gt;0,(B49+E49)/(C49+D49),"-")</f>
        <v>0.6666666666666666</v>
      </c>
    </row>
    <row r="50" spans="1:8" ht="36">
      <c r="A50" s="180" t="str">
        <f t="shared" si="15"/>
        <v>Delibazioni ai sensi dell'art.67 L.218/95</v>
      </c>
      <c r="B50" s="180">
        <f t="shared" si="15"/>
        <v>1</v>
      </c>
      <c r="C50" s="180">
        <f t="shared" si="15"/>
        <v>0</v>
      </c>
      <c r="D50" s="180">
        <f t="shared" si="15"/>
        <v>1</v>
      </c>
      <c r="E50" s="180">
        <f t="shared" si="15"/>
        <v>0</v>
      </c>
      <c r="F50" s="190">
        <f t="shared" si="16"/>
        <v>-1</v>
      </c>
      <c r="G50" s="191">
        <f t="shared" si="17"/>
        <v>1</v>
      </c>
      <c r="H50" s="192">
        <f t="shared" si="18"/>
        <v>1</v>
      </c>
    </row>
    <row r="51" spans="1:8" ht="36">
      <c r="A51" s="180" t="str">
        <f t="shared" si="15"/>
        <v>Esecutorietà lodi arbitrali stranieri art.839 c.p.c.</v>
      </c>
      <c r="B51" s="180">
        <f t="shared" si="15"/>
        <v>1</v>
      </c>
      <c r="C51" s="180">
        <f t="shared" si="15"/>
        <v>0</v>
      </c>
      <c r="D51" s="180">
        <f t="shared" si="15"/>
        <v>0</v>
      </c>
      <c r="E51" s="180">
        <f t="shared" si="15"/>
        <v>1</v>
      </c>
      <c r="F51" s="190">
        <f t="shared" si="16"/>
        <v>0</v>
      </c>
      <c r="G51" s="191">
        <f t="shared" si="17"/>
        <v>0</v>
      </c>
      <c r="H51" s="192" t="str">
        <f t="shared" si="18"/>
        <v>-</v>
      </c>
    </row>
    <row r="52" spans="1:8" ht="36">
      <c r="A52" s="180" t="str">
        <f t="shared" si="15"/>
        <v>Impugnazione lodi arbitrali nazionali art.828 c.p.c.</v>
      </c>
      <c r="B52" s="180">
        <f t="shared" si="15"/>
        <v>28</v>
      </c>
      <c r="C52" s="180">
        <f t="shared" si="15"/>
        <v>10</v>
      </c>
      <c r="D52" s="180">
        <f t="shared" si="15"/>
        <v>6</v>
      </c>
      <c r="E52" s="180">
        <f t="shared" si="15"/>
        <v>32</v>
      </c>
      <c r="F52" s="190">
        <f t="shared" si="16"/>
        <v>0.14285714285714285</v>
      </c>
      <c r="G52" s="191">
        <f t="shared" si="17"/>
        <v>0.15789473684210525</v>
      </c>
      <c r="H52" s="192">
        <f t="shared" si="18"/>
        <v>3.75</v>
      </c>
    </row>
    <row r="53" spans="1:8" ht="48">
      <c r="A53" s="180" t="str">
        <f t="shared" si="15"/>
        <v>Procedimenti relativi al Tribunale delle acque pubbliche</v>
      </c>
      <c r="B53" s="180">
        <f t="shared" si="15"/>
        <v>0</v>
      </c>
      <c r="C53" s="180">
        <f t="shared" si="15"/>
        <v>0</v>
      </c>
      <c r="D53" s="180">
        <f t="shared" si="15"/>
        <v>0</v>
      </c>
      <c r="E53" s="180">
        <f t="shared" si="15"/>
        <v>0</v>
      </c>
      <c r="F53" s="190" t="str">
        <f t="shared" si="16"/>
        <v>-</v>
      </c>
      <c r="G53" s="191" t="str">
        <f t="shared" si="17"/>
        <v>-</v>
      </c>
      <c r="H53" s="192" t="str">
        <f t="shared" si="18"/>
        <v>-</v>
      </c>
    </row>
    <row r="54" spans="1:8" ht="36">
      <c r="A54" s="180" t="str">
        <f t="shared" si="15"/>
        <v>Controversie elettorali (elettorato attivo)</v>
      </c>
      <c r="B54" s="180">
        <f t="shared" si="15"/>
        <v>0</v>
      </c>
      <c r="C54" s="180">
        <f t="shared" si="15"/>
        <v>0</v>
      </c>
      <c r="D54" s="180">
        <f t="shared" si="15"/>
        <v>0</v>
      </c>
      <c r="E54" s="180">
        <f t="shared" si="15"/>
        <v>0</v>
      </c>
      <c r="F54" s="190" t="str">
        <f t="shared" si="16"/>
        <v>-</v>
      </c>
      <c r="G54" s="191" t="str">
        <f t="shared" si="17"/>
        <v>-</v>
      </c>
      <c r="H54" s="192" t="str">
        <f t="shared" si="18"/>
        <v>-</v>
      </c>
    </row>
    <row r="55" spans="1:8" ht="24">
      <c r="A55" s="180" t="str">
        <f t="shared" si="15"/>
        <v>Altri procedimenti contenziosi</v>
      </c>
      <c r="B55" s="180">
        <f t="shared" si="15"/>
        <v>210</v>
      </c>
      <c r="C55" s="180">
        <f t="shared" si="15"/>
        <v>47</v>
      </c>
      <c r="D55" s="180">
        <f t="shared" si="15"/>
        <v>76</v>
      </c>
      <c r="E55" s="180">
        <f t="shared" si="15"/>
        <v>181</v>
      </c>
      <c r="F55" s="190">
        <f t="shared" si="16"/>
        <v>-0.1380952380952381</v>
      </c>
      <c r="G55" s="191">
        <f t="shared" si="17"/>
        <v>0.29571984435797666</v>
      </c>
      <c r="H55" s="192">
        <f t="shared" si="18"/>
        <v>3.178861788617886</v>
      </c>
    </row>
    <row r="56" spans="1:8" ht="36">
      <c r="A56" s="180" t="str">
        <f aca="true" t="shared" si="19" ref="A56:E61">A15</f>
        <v>Delibazioni ai sensi dell'art.8 L.121/85</v>
      </c>
      <c r="B56" s="180">
        <f t="shared" si="19"/>
        <v>0</v>
      </c>
      <c r="C56" s="180">
        <f t="shared" si="19"/>
        <v>15</v>
      </c>
      <c r="D56" s="180">
        <f t="shared" si="19"/>
        <v>10</v>
      </c>
      <c r="E56" s="180">
        <f t="shared" si="19"/>
        <v>5</v>
      </c>
      <c r="F56" s="190" t="str">
        <f t="shared" si="16"/>
        <v>-</v>
      </c>
      <c r="G56" s="191">
        <f t="shared" si="17"/>
        <v>0.6666666666666666</v>
      </c>
      <c r="H56" s="192">
        <f t="shared" si="18"/>
        <v>0.2</v>
      </c>
    </row>
    <row r="57" spans="1:8" ht="36">
      <c r="A57" s="180" t="str">
        <f t="shared" si="19"/>
        <v>Delibazioni ai sensi dell'art.67 L.218/95</v>
      </c>
      <c r="B57" s="180">
        <f t="shared" si="19"/>
        <v>3</v>
      </c>
      <c r="C57" s="180">
        <f t="shared" si="19"/>
        <v>5</v>
      </c>
      <c r="D57" s="180">
        <f t="shared" si="19"/>
        <v>4</v>
      </c>
      <c r="E57" s="180">
        <f t="shared" si="19"/>
        <v>4</v>
      </c>
      <c r="F57" s="190">
        <f t="shared" si="16"/>
        <v>0.3333333333333333</v>
      </c>
      <c r="G57" s="191">
        <f t="shared" si="17"/>
        <v>0.5</v>
      </c>
      <c r="H57" s="192">
        <f t="shared" si="18"/>
        <v>0.7777777777777778</v>
      </c>
    </row>
    <row r="58" spans="1:8" ht="36">
      <c r="A58" s="180" t="str">
        <f t="shared" si="19"/>
        <v>Esecutorietà lodi arbitrali stranieri art.839 c.p.c.</v>
      </c>
      <c r="B58" s="180">
        <f t="shared" si="19"/>
        <v>0</v>
      </c>
      <c r="C58" s="180">
        <f t="shared" si="19"/>
        <v>1</v>
      </c>
      <c r="D58" s="180">
        <f t="shared" si="19"/>
        <v>1</v>
      </c>
      <c r="E58" s="180">
        <f t="shared" si="19"/>
        <v>0</v>
      </c>
      <c r="F58" s="190" t="str">
        <f t="shared" si="16"/>
        <v>-</v>
      </c>
      <c r="G58" s="191">
        <f t="shared" si="17"/>
        <v>1</v>
      </c>
      <c r="H58" s="192">
        <f t="shared" si="18"/>
        <v>0</v>
      </c>
    </row>
    <row r="59" spans="1:8" ht="60">
      <c r="A59" s="180" t="str">
        <f t="shared" si="19"/>
        <v>Equa riparazione per violazione del termine ragionevole del processo</v>
      </c>
      <c r="B59" s="180">
        <f t="shared" si="19"/>
        <v>15</v>
      </c>
      <c r="C59" s="180">
        <f t="shared" si="19"/>
        <v>265</v>
      </c>
      <c r="D59" s="180">
        <f t="shared" si="19"/>
        <v>211</v>
      </c>
      <c r="E59" s="180">
        <f t="shared" si="19"/>
        <v>69</v>
      </c>
      <c r="F59" s="190">
        <f t="shared" si="16"/>
        <v>3.6</v>
      </c>
      <c r="G59" s="191">
        <f t="shared" si="17"/>
        <v>0.7535714285714286</v>
      </c>
      <c r="H59" s="192">
        <f t="shared" si="18"/>
        <v>0.17647058823529413</v>
      </c>
    </row>
    <row r="60" spans="1:8" ht="24">
      <c r="A60" s="180" t="str">
        <f t="shared" si="19"/>
        <v>Altri procedimenti VG</v>
      </c>
      <c r="B60" s="180">
        <f t="shared" si="19"/>
        <v>11</v>
      </c>
      <c r="C60" s="180">
        <f t="shared" si="19"/>
        <v>9</v>
      </c>
      <c r="D60" s="180">
        <f t="shared" si="19"/>
        <v>13</v>
      </c>
      <c r="E60" s="180">
        <f t="shared" si="19"/>
        <v>7</v>
      </c>
      <c r="F60" s="190">
        <f t="shared" si="16"/>
        <v>-0.36363636363636365</v>
      </c>
      <c r="G60" s="191">
        <f t="shared" si="17"/>
        <v>0.65</v>
      </c>
      <c r="H60" s="192">
        <f t="shared" si="18"/>
        <v>0.8181818181818182</v>
      </c>
    </row>
    <row r="61" spans="1:8" ht="24">
      <c r="A61" s="180" t="str">
        <f t="shared" si="19"/>
        <v>Totale Primo grado</v>
      </c>
      <c r="B61" s="180">
        <f t="shared" si="19"/>
        <v>272</v>
      </c>
      <c r="C61" s="180">
        <f t="shared" si="19"/>
        <v>354</v>
      </c>
      <c r="D61" s="180">
        <f t="shared" si="19"/>
        <v>326</v>
      </c>
      <c r="E61" s="180">
        <f t="shared" si="19"/>
        <v>300</v>
      </c>
      <c r="F61" s="190">
        <f t="shared" si="16"/>
        <v>0.10294117647058823</v>
      </c>
      <c r="G61" s="191">
        <f t="shared" si="17"/>
        <v>0.5207667731629393</v>
      </c>
      <c r="H61" s="192">
        <f t="shared" si="18"/>
        <v>0.8411764705882353</v>
      </c>
    </row>
    <row r="62" spans="1:8" ht="24">
      <c r="A62" s="180" t="str">
        <f aca="true" t="shared" si="20" ref="A62:E77">A23</f>
        <v>Cognizione ordinaria</v>
      </c>
      <c r="B62" s="180">
        <f t="shared" si="20"/>
        <v>8213</v>
      </c>
      <c r="C62" s="180">
        <f t="shared" si="20"/>
        <v>1592</v>
      </c>
      <c r="D62" s="180">
        <f t="shared" si="20"/>
        <v>1949</v>
      </c>
      <c r="E62" s="180">
        <f t="shared" si="20"/>
        <v>7856</v>
      </c>
      <c r="F62" s="190">
        <f t="shared" si="16"/>
        <v>-0.043467673201022766</v>
      </c>
      <c r="G62" s="191">
        <f t="shared" si="17"/>
        <v>0.19877613462519123</v>
      </c>
      <c r="H62" s="192">
        <f t="shared" si="18"/>
        <v>4.537983620446202</v>
      </c>
    </row>
    <row r="63" spans="1:8" ht="36">
      <c r="A63" s="180" t="str">
        <f t="shared" si="20"/>
        <v>Procedimenti relativi agli usi civici</v>
      </c>
      <c r="B63" s="180">
        <f t="shared" si="20"/>
        <v>0</v>
      </c>
      <c r="C63" s="180">
        <f t="shared" si="20"/>
        <v>0</v>
      </c>
      <c r="D63" s="180">
        <f t="shared" si="20"/>
        <v>0</v>
      </c>
      <c r="E63" s="180">
        <f t="shared" si="20"/>
        <v>0</v>
      </c>
      <c r="F63" s="190" t="str">
        <f t="shared" si="16"/>
        <v>-</v>
      </c>
      <c r="G63" s="191" t="str">
        <f t="shared" si="17"/>
        <v>-</v>
      </c>
      <c r="H63" s="192" t="str">
        <f t="shared" si="18"/>
        <v>-</v>
      </c>
    </row>
    <row r="64" spans="1:8" ht="24">
      <c r="A64" s="180" t="str">
        <f t="shared" si="20"/>
        <v>Controversie agrarie</v>
      </c>
      <c r="B64" s="180">
        <f t="shared" si="20"/>
        <v>20</v>
      </c>
      <c r="C64" s="180">
        <f t="shared" si="20"/>
        <v>9</v>
      </c>
      <c r="D64" s="180">
        <f t="shared" si="20"/>
        <v>6</v>
      </c>
      <c r="E64" s="180">
        <f t="shared" si="20"/>
        <v>23</v>
      </c>
      <c r="F64" s="190">
        <f t="shared" si="16"/>
        <v>0.15</v>
      </c>
      <c r="G64" s="191">
        <f t="shared" si="17"/>
        <v>0.20689655172413793</v>
      </c>
      <c r="H64" s="192">
        <f t="shared" si="18"/>
        <v>2.8666666666666667</v>
      </c>
    </row>
    <row r="65" spans="1:8" ht="48">
      <c r="A65" s="180" t="str">
        <f t="shared" si="20"/>
        <v>Controversie elettorali (elettorato passivo)</v>
      </c>
      <c r="B65" s="180">
        <f t="shared" si="20"/>
        <v>2</v>
      </c>
      <c r="C65" s="180">
        <f t="shared" si="20"/>
        <v>0</v>
      </c>
      <c r="D65" s="180">
        <f t="shared" si="20"/>
        <v>2</v>
      </c>
      <c r="E65" s="180">
        <f t="shared" si="20"/>
        <v>0</v>
      </c>
      <c r="F65" s="190">
        <f t="shared" si="16"/>
        <v>-1</v>
      </c>
      <c r="G65" s="191">
        <f t="shared" si="17"/>
        <v>1</v>
      </c>
      <c r="H65" s="192">
        <f t="shared" si="18"/>
        <v>1</v>
      </c>
    </row>
    <row r="66" spans="1:8" ht="36">
      <c r="A66" s="180" t="str">
        <f t="shared" si="20"/>
        <v>Controversie in materia di lavoro - pubblico impiego</v>
      </c>
      <c r="B66" s="180">
        <f t="shared" si="20"/>
        <v>727</v>
      </c>
      <c r="C66" s="180">
        <f t="shared" si="20"/>
        <v>246</v>
      </c>
      <c r="D66" s="180">
        <f t="shared" si="20"/>
        <v>215</v>
      </c>
      <c r="E66" s="180">
        <f t="shared" si="20"/>
        <v>758</v>
      </c>
      <c r="F66" s="190">
        <f t="shared" si="16"/>
        <v>0.04264099037138927</v>
      </c>
      <c r="G66" s="191">
        <f t="shared" si="17"/>
        <v>0.2209660842754368</v>
      </c>
      <c r="H66" s="192">
        <f t="shared" si="18"/>
        <v>3.2212581344902387</v>
      </c>
    </row>
    <row r="67" spans="1:8" ht="36">
      <c r="A67" s="180" t="str">
        <f t="shared" si="20"/>
        <v>Altre controversie in materia di lavoro</v>
      </c>
      <c r="B67" s="180">
        <f t="shared" si="20"/>
        <v>1563</v>
      </c>
      <c r="C67" s="180">
        <f t="shared" si="20"/>
        <v>378</v>
      </c>
      <c r="D67" s="180">
        <f t="shared" si="20"/>
        <v>486</v>
      </c>
      <c r="E67" s="180">
        <f t="shared" si="20"/>
        <v>1455</v>
      </c>
      <c r="F67" s="190">
        <f t="shared" si="16"/>
        <v>-0.0690978886756238</v>
      </c>
      <c r="G67" s="191">
        <f t="shared" si="17"/>
        <v>0.250386398763524</v>
      </c>
      <c r="H67" s="192">
        <f t="shared" si="18"/>
        <v>3.4930555555555554</v>
      </c>
    </row>
    <row r="68" spans="1:8" ht="48">
      <c r="A68" s="180" t="str">
        <f t="shared" si="20"/>
        <v>Controversie in materia di previdenza ed assistenza</v>
      </c>
      <c r="B68" s="180">
        <f t="shared" si="20"/>
        <v>2257</v>
      </c>
      <c r="C68" s="180">
        <f t="shared" si="20"/>
        <v>530</v>
      </c>
      <c r="D68" s="180">
        <f t="shared" si="20"/>
        <v>848</v>
      </c>
      <c r="E68" s="180">
        <f t="shared" si="20"/>
        <v>1939</v>
      </c>
      <c r="F68" s="190">
        <f t="shared" si="16"/>
        <v>-0.14089499335400973</v>
      </c>
      <c r="G68" s="191">
        <f t="shared" si="17"/>
        <v>0.30426982418371007</v>
      </c>
      <c r="H68" s="192">
        <f t="shared" si="18"/>
        <v>3.0449927431059507</v>
      </c>
    </row>
    <row r="69" spans="1:8" ht="48">
      <c r="A69" s="180" t="str">
        <f t="shared" si="20"/>
        <v>Procedimenti in materia di separazione dei coniugi cont.</v>
      </c>
      <c r="B69" s="180">
        <f t="shared" si="20"/>
        <v>72</v>
      </c>
      <c r="C69" s="180">
        <f t="shared" si="20"/>
        <v>57</v>
      </c>
      <c r="D69" s="180">
        <f t="shared" si="20"/>
        <v>50</v>
      </c>
      <c r="E69" s="180">
        <f t="shared" si="20"/>
        <v>79</v>
      </c>
      <c r="F69" s="190">
        <f t="shared" si="16"/>
        <v>0.09722222222222222</v>
      </c>
      <c r="G69" s="191">
        <f t="shared" si="17"/>
        <v>0.3875968992248062</v>
      </c>
      <c r="H69" s="192">
        <f t="shared" si="18"/>
        <v>1.411214953271028</v>
      </c>
    </row>
    <row r="70" spans="1:8" ht="36">
      <c r="A70" s="180" t="str">
        <f t="shared" si="20"/>
        <v>Procedimenti in materia di divorzio cont.</v>
      </c>
      <c r="B70" s="180">
        <f t="shared" si="20"/>
        <v>61</v>
      </c>
      <c r="C70" s="180">
        <f t="shared" si="20"/>
        <v>43</v>
      </c>
      <c r="D70" s="180">
        <f t="shared" si="20"/>
        <v>44</v>
      </c>
      <c r="E70" s="180">
        <f t="shared" si="20"/>
        <v>60</v>
      </c>
      <c r="F70" s="190">
        <f t="shared" si="16"/>
        <v>-0.01639344262295082</v>
      </c>
      <c r="G70" s="191">
        <f t="shared" si="17"/>
        <v>0.4230769230769231</v>
      </c>
      <c r="H70" s="192">
        <f t="shared" si="18"/>
        <v>1.3908045977011494</v>
      </c>
    </row>
    <row r="71" spans="1:8" ht="36">
      <c r="A71" s="180" t="str">
        <f t="shared" si="20"/>
        <v>Procedimenti in materia minorile cont.</v>
      </c>
      <c r="B71" s="180">
        <f t="shared" si="20"/>
        <v>3</v>
      </c>
      <c r="C71" s="180">
        <f t="shared" si="20"/>
        <v>1</v>
      </c>
      <c r="D71" s="180">
        <f t="shared" si="20"/>
        <v>2</v>
      </c>
      <c r="E71" s="180">
        <f t="shared" si="20"/>
        <v>2</v>
      </c>
      <c r="F71" s="190">
        <f t="shared" si="16"/>
        <v>-0.3333333333333333</v>
      </c>
      <c r="G71" s="191">
        <f t="shared" si="17"/>
        <v>0.5</v>
      </c>
      <c r="H71" s="192">
        <f t="shared" si="18"/>
        <v>1.6666666666666667</v>
      </c>
    </row>
    <row r="72" spans="1:8" ht="60">
      <c r="A72" s="180" t="str">
        <f t="shared" si="20"/>
        <v>Procedimenti in materia di proprietà industriale ed intellettuale</v>
      </c>
      <c r="B72" s="180">
        <f t="shared" si="20"/>
        <v>24</v>
      </c>
      <c r="C72" s="180">
        <f t="shared" si="20"/>
        <v>3</v>
      </c>
      <c r="D72" s="180">
        <f t="shared" si="20"/>
        <v>5</v>
      </c>
      <c r="E72" s="180">
        <f t="shared" si="20"/>
        <v>22</v>
      </c>
      <c r="F72" s="190">
        <f t="shared" si="16"/>
        <v>-0.08333333333333333</v>
      </c>
      <c r="G72" s="191">
        <f t="shared" si="17"/>
        <v>0.18518518518518517</v>
      </c>
      <c r="H72" s="192">
        <f t="shared" si="18"/>
        <v>5.75</v>
      </c>
    </row>
    <row r="73" spans="1:8" ht="48">
      <c r="A73" s="180" t="str">
        <f t="shared" si="20"/>
        <v>Procedimenti in materia di diritto societario - rito ordinario</v>
      </c>
      <c r="B73" s="180">
        <f t="shared" si="20"/>
        <v>4</v>
      </c>
      <c r="C73" s="180">
        <f t="shared" si="20"/>
        <v>0</v>
      </c>
      <c r="D73" s="180">
        <f t="shared" si="20"/>
        <v>0</v>
      </c>
      <c r="E73" s="180">
        <f t="shared" si="20"/>
        <v>4</v>
      </c>
      <c r="F73" s="190">
        <f t="shared" si="16"/>
        <v>0</v>
      </c>
      <c r="G73" s="191">
        <f t="shared" si="17"/>
        <v>0</v>
      </c>
      <c r="H73" s="192" t="str">
        <f t="shared" si="18"/>
        <v>-</v>
      </c>
    </row>
    <row r="74" spans="1:8" ht="24">
      <c r="A74" s="180" t="str">
        <f t="shared" si="20"/>
        <v>Altri procedimenti contenziosi</v>
      </c>
      <c r="B74" s="180">
        <f t="shared" si="20"/>
        <v>42</v>
      </c>
      <c r="C74" s="180">
        <f t="shared" si="20"/>
        <v>16</v>
      </c>
      <c r="D74" s="180">
        <f t="shared" si="20"/>
        <v>14</v>
      </c>
      <c r="E74" s="180">
        <f t="shared" si="20"/>
        <v>44</v>
      </c>
      <c r="F74" s="190">
        <f t="shared" si="16"/>
        <v>0.047619047619047616</v>
      </c>
      <c r="G74" s="191">
        <f t="shared" si="17"/>
        <v>0.2413793103448276</v>
      </c>
      <c r="H74" s="192">
        <f t="shared" si="18"/>
        <v>2.8666666666666667</v>
      </c>
    </row>
    <row r="75" spans="1:8" ht="24">
      <c r="A75" s="180" t="str">
        <f t="shared" si="20"/>
        <v>Procedimenti non contenziosi (VG)</v>
      </c>
      <c r="B75" s="180">
        <f t="shared" si="20"/>
        <v>0</v>
      </c>
      <c r="C75" s="180">
        <f t="shared" si="20"/>
        <v>0</v>
      </c>
      <c r="D75" s="180">
        <f t="shared" si="20"/>
        <v>0</v>
      </c>
      <c r="E75" s="180">
        <f t="shared" si="20"/>
        <v>0</v>
      </c>
      <c r="F75" s="190" t="str">
        <f t="shared" si="16"/>
        <v>-</v>
      </c>
      <c r="G75" s="191" t="str">
        <f t="shared" si="17"/>
        <v>-</v>
      </c>
      <c r="H75" s="192" t="str">
        <f t="shared" si="18"/>
        <v>-</v>
      </c>
    </row>
    <row r="76" spans="1:8" ht="48">
      <c r="A76" s="180" t="str">
        <f t="shared" si="20"/>
        <v>Procedimenti in materia di separazione dei coniugi VG</v>
      </c>
      <c r="B76" s="180">
        <f t="shared" si="20"/>
        <v>33</v>
      </c>
      <c r="C76" s="180">
        <f t="shared" si="20"/>
        <v>43</v>
      </c>
      <c r="D76" s="180">
        <f t="shared" si="20"/>
        <v>36</v>
      </c>
      <c r="E76" s="180">
        <f t="shared" si="20"/>
        <v>40</v>
      </c>
      <c r="F76" s="190">
        <f t="shared" si="16"/>
        <v>0.21212121212121213</v>
      </c>
      <c r="G76" s="191">
        <f t="shared" si="17"/>
        <v>0.47368421052631576</v>
      </c>
      <c r="H76" s="192">
        <f t="shared" si="18"/>
        <v>0.9240506329113924</v>
      </c>
    </row>
    <row r="77" spans="1:8" ht="36">
      <c r="A77" s="180" t="str">
        <f t="shared" si="20"/>
        <v>Procedimenti in materia di Divorzio VG</v>
      </c>
      <c r="B77" s="180">
        <f t="shared" si="20"/>
        <v>26</v>
      </c>
      <c r="C77" s="180">
        <f t="shared" si="20"/>
        <v>15</v>
      </c>
      <c r="D77" s="180">
        <f t="shared" si="20"/>
        <v>25</v>
      </c>
      <c r="E77" s="180">
        <f t="shared" si="20"/>
        <v>16</v>
      </c>
      <c r="F77" s="190">
        <f t="shared" si="16"/>
        <v>-0.38461538461538464</v>
      </c>
      <c r="G77" s="191">
        <f t="shared" si="17"/>
        <v>0.6097560975609756</v>
      </c>
      <c r="H77" s="192">
        <f t="shared" si="18"/>
        <v>1.05</v>
      </c>
    </row>
    <row r="78" spans="1:8" ht="36">
      <c r="A78" s="180" t="str">
        <f aca="true" t="shared" si="21" ref="A78:E80">A39</f>
        <v>Procedimenti in materia minorile VG</v>
      </c>
      <c r="B78" s="180">
        <f t="shared" si="21"/>
        <v>19</v>
      </c>
      <c r="C78" s="180">
        <f t="shared" si="21"/>
        <v>85</v>
      </c>
      <c r="D78" s="180">
        <f t="shared" si="21"/>
        <v>79</v>
      </c>
      <c r="E78" s="180">
        <f t="shared" si="21"/>
        <v>25</v>
      </c>
      <c r="F78" s="190">
        <f t="shared" si="16"/>
        <v>0.3157894736842105</v>
      </c>
      <c r="G78" s="191">
        <f t="shared" si="17"/>
        <v>0.7596153846153846</v>
      </c>
      <c r="H78" s="192">
        <f t="shared" si="18"/>
        <v>0.2682926829268293</v>
      </c>
    </row>
    <row r="79" spans="1:8" ht="48">
      <c r="A79" s="180" t="str">
        <f t="shared" si="21"/>
        <v>Procedimenti in materia di diritto societario - rito camerale</v>
      </c>
      <c r="B79" s="180">
        <f t="shared" si="21"/>
        <v>0</v>
      </c>
      <c r="C79" s="180">
        <f t="shared" si="21"/>
        <v>0</v>
      </c>
      <c r="D79" s="180">
        <f t="shared" si="21"/>
        <v>0</v>
      </c>
      <c r="E79" s="180">
        <f t="shared" si="21"/>
        <v>0</v>
      </c>
      <c r="F79" s="190" t="str">
        <f t="shared" si="16"/>
        <v>-</v>
      </c>
      <c r="G79" s="191" t="str">
        <f t="shared" si="17"/>
        <v>-</v>
      </c>
      <c r="H79" s="192" t="str">
        <f t="shared" si="18"/>
        <v>-</v>
      </c>
    </row>
    <row r="80" spans="1:8" ht="24">
      <c r="A80" s="180" t="str">
        <f t="shared" si="21"/>
        <v>Altri procedimenti VG</v>
      </c>
      <c r="B80" s="180">
        <f t="shared" si="21"/>
        <v>149</v>
      </c>
      <c r="C80" s="180">
        <f t="shared" si="21"/>
        <v>296</v>
      </c>
      <c r="D80" s="180">
        <f t="shared" si="21"/>
        <v>245</v>
      </c>
      <c r="E80" s="180">
        <f t="shared" si="21"/>
        <v>200</v>
      </c>
      <c r="F80" s="190">
        <f t="shared" si="16"/>
        <v>0.3422818791946309</v>
      </c>
      <c r="G80" s="191">
        <f t="shared" si="17"/>
        <v>0.550561797752809</v>
      </c>
      <c r="H80" s="192">
        <f t="shared" si="18"/>
        <v>0.6451016635859519</v>
      </c>
    </row>
    <row r="91" spans="1:11" ht="14.25" customHeight="1">
      <c r="A91" s="835" t="s">
        <v>274</v>
      </c>
      <c r="B91" s="835"/>
      <c r="C91" s="835"/>
      <c r="D91" s="835"/>
      <c r="E91" s="835"/>
      <c r="F91" s="835"/>
      <c r="G91" s="835"/>
      <c r="H91" s="835"/>
      <c r="I91" s="835"/>
      <c r="J91" s="835"/>
      <c r="K91" s="835"/>
    </row>
    <row r="92" spans="1:11" ht="36.75" thickBot="1">
      <c r="A92" s="206"/>
      <c r="B92" s="207" t="s">
        <v>231</v>
      </c>
      <c r="C92" s="207" t="s">
        <v>230</v>
      </c>
      <c r="D92" s="207" t="s">
        <v>235</v>
      </c>
      <c r="E92" s="207" t="s">
        <v>230</v>
      </c>
      <c r="F92" s="207" t="s">
        <v>284</v>
      </c>
      <c r="G92" s="207" t="s">
        <v>230</v>
      </c>
      <c r="H92" s="207" t="s">
        <v>301</v>
      </c>
      <c r="I92" s="207" t="s">
        <v>230</v>
      </c>
      <c r="J92" s="207" t="s">
        <v>373</v>
      </c>
      <c r="K92" s="207" t="s">
        <v>230</v>
      </c>
    </row>
    <row r="93" spans="1:11" ht="12.75" thickTop="1">
      <c r="A93" s="208" t="s">
        <v>232</v>
      </c>
      <c r="B93" s="209">
        <v>2167</v>
      </c>
      <c r="C93" s="210">
        <v>0.20657015590200445</v>
      </c>
      <c r="D93" s="209">
        <v>1927</v>
      </c>
      <c r="E93" s="210">
        <v>-0.11075219197046608</v>
      </c>
      <c r="F93" s="209">
        <v>1942</v>
      </c>
      <c r="G93" s="210">
        <v>0.007784120394395433</v>
      </c>
      <c r="H93" s="209">
        <v>1666</v>
      </c>
      <c r="I93" s="210">
        <f>(H93-F93)/F93</f>
        <v>-0.14212152420185376</v>
      </c>
      <c r="J93" s="209">
        <v>1592</v>
      </c>
      <c r="K93" s="210">
        <f>(J93-H93)/H93</f>
        <v>-0.04441776710684274</v>
      </c>
    </row>
    <row r="94" spans="1:11" ht="12">
      <c r="A94" s="208" t="s">
        <v>233</v>
      </c>
      <c r="B94" s="209">
        <v>1673</v>
      </c>
      <c r="C94" s="210">
        <v>-0.034064665127020784</v>
      </c>
      <c r="D94" s="209">
        <v>1547</v>
      </c>
      <c r="E94" s="210">
        <v>-0.07531380753138076</v>
      </c>
      <c r="F94" s="209">
        <v>1832</v>
      </c>
      <c r="G94" s="210">
        <v>0.18422753716871365</v>
      </c>
      <c r="H94" s="209">
        <v>2211</v>
      </c>
      <c r="I94" s="210">
        <f>(H94-F94)/F94</f>
        <v>0.20687772925764192</v>
      </c>
      <c r="J94" s="209">
        <v>1949</v>
      </c>
      <c r="K94" s="210">
        <f>(J94-H94)/H94</f>
        <v>-0.1184984170058797</v>
      </c>
    </row>
    <row r="95" spans="1:11" ht="12">
      <c r="A95" s="208" t="s">
        <v>234</v>
      </c>
      <c r="B95" s="209">
        <v>8259</v>
      </c>
      <c r="C95" s="210">
        <v>0.06553993033157011</v>
      </c>
      <c r="D95" s="209">
        <v>8641</v>
      </c>
      <c r="E95" s="210">
        <v>0.046252572950720425</v>
      </c>
      <c r="F95" s="209">
        <v>8757</v>
      </c>
      <c r="G95" s="210">
        <v>0.013424372179145933</v>
      </c>
      <c r="H95" s="209">
        <v>8213</v>
      </c>
      <c r="I95" s="210">
        <f>(H95-F95)/F95</f>
        <v>-0.06212173118647939</v>
      </c>
      <c r="J95" s="209">
        <v>7856</v>
      </c>
      <c r="K95" s="210">
        <f>(J95-H95)/H95</f>
        <v>-0.043467673201022766</v>
      </c>
    </row>
    <row r="96" spans="1:11" ht="12">
      <c r="A96" s="181"/>
      <c r="B96" s="181"/>
      <c r="C96" s="181"/>
      <c r="D96" s="181"/>
      <c r="E96" s="181"/>
      <c r="F96" s="181"/>
      <c r="G96" s="181"/>
      <c r="H96" s="181"/>
      <c r="I96" s="181"/>
      <c r="J96" s="181"/>
      <c r="K96" s="181"/>
    </row>
    <row r="97" spans="1:11" ht="12">
      <c r="A97" s="181"/>
      <c r="B97" s="181"/>
      <c r="C97" s="181"/>
      <c r="D97" s="181"/>
      <c r="E97" s="181"/>
      <c r="F97" s="181"/>
      <c r="G97" s="181"/>
      <c r="H97" s="181"/>
      <c r="I97" s="181"/>
      <c r="J97" s="181"/>
      <c r="K97" s="181"/>
    </row>
    <row r="98" spans="1:11" ht="12">
      <c r="A98" s="181"/>
      <c r="B98" s="181"/>
      <c r="C98" s="181"/>
      <c r="D98" s="181"/>
      <c r="E98" s="181"/>
      <c r="F98" s="181"/>
      <c r="G98" s="181"/>
      <c r="H98" s="181"/>
      <c r="I98" s="181"/>
      <c r="J98" s="181"/>
      <c r="K98" s="181"/>
    </row>
    <row r="99" spans="1:11" ht="12">
      <c r="A99" s="181"/>
      <c r="B99" s="181"/>
      <c r="C99" s="181"/>
      <c r="D99" s="181"/>
      <c r="E99" s="181"/>
      <c r="F99" s="181"/>
      <c r="G99" s="181"/>
      <c r="H99" s="181"/>
      <c r="I99" s="181"/>
      <c r="J99" s="181"/>
      <c r="K99" s="181"/>
    </row>
    <row r="100" spans="1:11" ht="12">
      <c r="A100" s="181"/>
      <c r="B100" s="181"/>
      <c r="C100" s="181"/>
      <c r="D100" s="181"/>
      <c r="E100" s="181"/>
      <c r="F100" s="181"/>
      <c r="G100" s="181"/>
      <c r="H100" s="181"/>
      <c r="I100" s="181"/>
      <c r="J100" s="181"/>
      <c r="K100" s="181"/>
    </row>
    <row r="101" spans="1:11" ht="12">
      <c r="A101" s="181"/>
      <c r="B101" s="181"/>
      <c r="C101" s="181"/>
      <c r="D101" s="181"/>
      <c r="E101" s="181"/>
      <c r="F101" s="181"/>
      <c r="G101" s="181"/>
      <c r="H101" s="181"/>
      <c r="I101" s="181"/>
      <c r="J101" s="181"/>
      <c r="K101" s="181"/>
    </row>
    <row r="102" spans="1:11" ht="12">
      <c r="A102" s="181"/>
      <c r="B102" s="181"/>
      <c r="C102" s="181"/>
      <c r="D102" s="181"/>
      <c r="E102" s="181"/>
      <c r="F102" s="181"/>
      <c r="G102" s="181"/>
      <c r="H102" s="181"/>
      <c r="I102" s="181"/>
      <c r="J102" s="181"/>
      <c r="K102" s="181"/>
    </row>
    <row r="103" spans="1:11" ht="12">
      <c r="A103" s="181"/>
      <c r="B103" s="181"/>
      <c r="C103" s="181"/>
      <c r="D103" s="181"/>
      <c r="E103" s="181"/>
      <c r="F103" s="181"/>
      <c r="G103" s="181"/>
      <c r="H103" s="181"/>
      <c r="I103" s="181"/>
      <c r="J103" s="181"/>
      <c r="K103" s="181"/>
    </row>
    <row r="104" spans="1:11" ht="14.25" customHeight="1">
      <c r="A104" s="835" t="s">
        <v>275</v>
      </c>
      <c r="B104" s="835"/>
      <c r="C104" s="835"/>
      <c r="D104" s="835"/>
      <c r="E104" s="835"/>
      <c r="F104" s="835"/>
      <c r="G104" s="835"/>
      <c r="H104" s="835"/>
      <c r="I104" s="835"/>
      <c r="J104" s="835"/>
      <c r="K104" s="835"/>
    </row>
    <row r="105" spans="1:11" ht="36.75" thickBot="1">
      <c r="A105" s="206"/>
      <c r="B105" s="207" t="s">
        <v>231</v>
      </c>
      <c r="C105" s="207" t="s">
        <v>230</v>
      </c>
      <c r="D105" s="207" t="s">
        <v>235</v>
      </c>
      <c r="E105" s="207" t="s">
        <v>230</v>
      </c>
      <c r="F105" s="207" t="s">
        <v>284</v>
      </c>
      <c r="G105" s="207" t="s">
        <v>230</v>
      </c>
      <c r="H105" s="207" t="s">
        <v>301</v>
      </c>
      <c r="I105" s="207" t="s">
        <v>230</v>
      </c>
      <c r="J105" s="207" t="s">
        <v>373</v>
      </c>
      <c r="K105" s="207" t="s">
        <v>230</v>
      </c>
    </row>
    <row r="106" spans="1:11" ht="12.75" thickTop="1">
      <c r="A106" s="208" t="s">
        <v>232</v>
      </c>
      <c r="B106" s="209">
        <v>1655</v>
      </c>
      <c r="C106" s="210">
        <v>0.12051455653351388</v>
      </c>
      <c r="D106" s="209">
        <v>1596</v>
      </c>
      <c r="E106" s="210">
        <v>-0.03564954682779456</v>
      </c>
      <c r="F106" s="209">
        <v>1460</v>
      </c>
      <c r="G106" s="210">
        <v>-0.08521303258145363</v>
      </c>
      <c r="H106" s="209">
        <f>462+848</f>
        <v>1310</v>
      </c>
      <c r="I106" s="210">
        <f>(H106-F106)/F106</f>
        <v>-0.10273972602739725</v>
      </c>
      <c r="J106" s="209">
        <v>1154</v>
      </c>
      <c r="K106" s="210">
        <f>(J106-H106)/H106</f>
        <v>-0.11908396946564885</v>
      </c>
    </row>
    <row r="107" spans="1:11" ht="12">
      <c r="A107" s="208" t="s">
        <v>2</v>
      </c>
      <c r="B107" s="209">
        <v>1359</v>
      </c>
      <c r="C107" s="210">
        <v>-0.22871736662883088</v>
      </c>
      <c r="D107" s="209">
        <v>1554</v>
      </c>
      <c r="E107" s="210">
        <v>0.1434878587196468</v>
      </c>
      <c r="F107" s="209">
        <v>1500</v>
      </c>
      <c r="G107" s="210">
        <v>-0.03474903474903475</v>
      </c>
      <c r="H107" s="209">
        <f>860+1073</f>
        <v>1933</v>
      </c>
      <c r="I107" s="210">
        <f>(H107-F107)/F107</f>
        <v>0.2886666666666667</v>
      </c>
      <c r="J107" s="209">
        <v>1549</v>
      </c>
      <c r="K107" s="210">
        <f>(J107-H107)/H107</f>
        <v>-0.19865494050698396</v>
      </c>
    </row>
    <row r="108" spans="1:11" ht="12">
      <c r="A108" s="211" t="s">
        <v>234</v>
      </c>
      <c r="B108" s="212">
        <v>5181</v>
      </c>
      <c r="C108" s="213">
        <v>0.07045454545454545</v>
      </c>
      <c r="D108" s="212">
        <v>5210</v>
      </c>
      <c r="E108" s="213">
        <v>0.005597375024126616</v>
      </c>
      <c r="F108" s="212">
        <v>5170</v>
      </c>
      <c r="G108" s="213">
        <v>-0.007677543186180422</v>
      </c>
      <c r="H108" s="212">
        <f>2290+2257</f>
        <v>4547</v>
      </c>
      <c r="I108" s="213">
        <f>(H108-F108)/F108</f>
        <v>-0.12050290135396519</v>
      </c>
      <c r="J108" s="212">
        <v>4152</v>
      </c>
      <c r="K108" s="213">
        <f>(J108-H108)/H108</f>
        <v>-0.08687046404222565</v>
      </c>
    </row>
    <row r="109" spans="1:11" ht="12">
      <c r="A109" s="181"/>
      <c r="B109" s="181"/>
      <c r="C109" s="181"/>
      <c r="D109" s="181"/>
      <c r="E109" s="181"/>
      <c r="F109" s="181"/>
      <c r="G109" s="181"/>
      <c r="H109" s="181"/>
      <c r="I109" s="181"/>
      <c r="J109" s="181"/>
      <c r="K109" s="181"/>
    </row>
    <row r="110" spans="1:11" ht="12">
      <c r="A110" s="181"/>
      <c r="B110" s="181"/>
      <c r="C110" s="181"/>
      <c r="D110" s="181"/>
      <c r="E110" s="181"/>
      <c r="F110" s="181"/>
      <c r="G110" s="181"/>
      <c r="H110" s="181"/>
      <c r="I110" s="181"/>
      <c r="J110" s="181"/>
      <c r="K110" s="181"/>
    </row>
    <row r="111" spans="1:11" ht="12">
      <c r="A111" s="181"/>
      <c r="B111" s="181"/>
      <c r="C111" s="181"/>
      <c r="D111" s="181"/>
      <c r="E111" s="181"/>
      <c r="F111" s="181"/>
      <c r="G111" s="181"/>
      <c r="H111" s="181"/>
      <c r="I111" s="181"/>
      <c r="J111" s="181"/>
      <c r="K111" s="181"/>
    </row>
    <row r="112" spans="1:12" ht="12">
      <c r="A112" s="181"/>
      <c r="B112" s="181"/>
      <c r="C112" s="181"/>
      <c r="D112" s="181"/>
      <c r="E112" s="181"/>
      <c r="F112" s="181"/>
      <c r="G112" s="181"/>
      <c r="H112" s="181"/>
      <c r="I112" s="181"/>
      <c r="J112" s="181"/>
      <c r="K112" s="181"/>
      <c r="L112" s="181"/>
    </row>
    <row r="113" spans="1:12" ht="12">
      <c r="A113" s="181"/>
      <c r="B113" s="181"/>
      <c r="C113" s="181"/>
      <c r="D113" s="181"/>
      <c r="E113" s="181"/>
      <c r="F113" s="181"/>
      <c r="G113" s="181"/>
      <c r="H113" s="181"/>
      <c r="I113" s="181"/>
      <c r="J113" s="181"/>
      <c r="K113" s="181"/>
      <c r="L113" s="181"/>
    </row>
    <row r="114" spans="1:12" ht="12">
      <c r="A114" s="181"/>
      <c r="B114" s="181"/>
      <c r="C114" s="181"/>
      <c r="D114" s="181"/>
      <c r="E114" s="181"/>
      <c r="F114" s="181"/>
      <c r="G114" s="181"/>
      <c r="H114" s="181"/>
      <c r="I114" s="181"/>
      <c r="J114" s="181"/>
      <c r="K114" s="181"/>
      <c r="L114" s="181"/>
    </row>
    <row r="115" spans="1:12" ht="12">
      <c r="A115" s="181"/>
      <c r="B115" s="181"/>
      <c r="C115" s="181"/>
      <c r="D115" s="181"/>
      <c r="E115" s="181"/>
      <c r="F115" s="181"/>
      <c r="G115" s="181"/>
      <c r="H115" s="181"/>
      <c r="I115" s="181"/>
      <c r="J115" s="181"/>
      <c r="K115" s="181"/>
      <c r="L115" s="181"/>
    </row>
    <row r="116" spans="1:12" ht="12">
      <c r="A116" s="181"/>
      <c r="B116" s="181"/>
      <c r="C116" s="181"/>
      <c r="D116" s="181"/>
      <c r="E116" s="181"/>
      <c r="F116" s="181"/>
      <c r="G116" s="181"/>
      <c r="H116" s="181"/>
      <c r="I116" s="181"/>
      <c r="J116" s="181"/>
      <c r="K116" s="181"/>
      <c r="L116" s="181"/>
    </row>
    <row r="117" spans="1:12" ht="30.75" customHeight="1">
      <c r="A117" s="835" t="s">
        <v>363</v>
      </c>
      <c r="B117" s="835"/>
      <c r="C117" s="835"/>
      <c r="D117" s="835"/>
      <c r="E117" s="835"/>
      <c r="F117" s="835"/>
      <c r="G117" s="181"/>
      <c r="H117" s="181"/>
      <c r="I117" s="181"/>
      <c r="J117" s="181"/>
      <c r="K117" s="181"/>
      <c r="L117" s="181"/>
    </row>
    <row r="118" spans="1:11" ht="36.75" thickBot="1">
      <c r="A118" s="206"/>
      <c r="B118" s="207" t="s">
        <v>231</v>
      </c>
      <c r="C118" s="207" t="s">
        <v>235</v>
      </c>
      <c r="D118" s="207" t="s">
        <v>284</v>
      </c>
      <c r="E118" s="207" t="s">
        <v>301</v>
      </c>
      <c r="F118" s="207" t="s">
        <v>373</v>
      </c>
      <c r="G118" s="181"/>
      <c r="H118" s="181"/>
      <c r="I118" s="181"/>
      <c r="J118" s="181"/>
      <c r="K118" s="181"/>
    </row>
    <row r="119" spans="1:11" ht="12.75" thickTop="1">
      <c r="A119" s="208" t="s">
        <v>232</v>
      </c>
      <c r="B119" s="209">
        <v>2167</v>
      </c>
      <c r="C119" s="209">
        <v>1927</v>
      </c>
      <c r="D119" s="209">
        <v>1942</v>
      </c>
      <c r="E119" s="209">
        <v>1666</v>
      </c>
      <c r="F119" s="209">
        <v>1592</v>
      </c>
      <c r="G119" s="181"/>
      <c r="H119" s="181"/>
      <c r="I119" s="181"/>
      <c r="J119" s="181"/>
      <c r="K119" s="181"/>
    </row>
    <row r="120" spans="1:11" ht="12">
      <c r="A120" s="208" t="s">
        <v>233</v>
      </c>
      <c r="B120" s="209">
        <v>1673</v>
      </c>
      <c r="C120" s="209">
        <v>1547</v>
      </c>
      <c r="D120" s="209">
        <v>1832</v>
      </c>
      <c r="E120" s="209">
        <v>2211</v>
      </c>
      <c r="F120" s="209">
        <v>1949</v>
      </c>
      <c r="G120" s="181"/>
      <c r="H120" s="181"/>
      <c r="I120" s="181"/>
      <c r="J120" s="181"/>
      <c r="K120" s="181"/>
    </row>
    <row r="121" spans="1:11" ht="12">
      <c r="A121" s="208" t="s">
        <v>234</v>
      </c>
      <c r="B121" s="209">
        <v>8259</v>
      </c>
      <c r="C121" s="209">
        <v>8641</v>
      </c>
      <c r="D121" s="209">
        <v>8757</v>
      </c>
      <c r="E121" s="209">
        <v>8213</v>
      </c>
      <c r="F121" s="209">
        <v>7856</v>
      </c>
      <c r="G121" s="181"/>
      <c r="H121" s="181"/>
      <c r="I121" s="181"/>
      <c r="J121" s="181"/>
      <c r="K121" s="181"/>
    </row>
    <row r="122" spans="1:12" ht="12">
      <c r="A122" s="181"/>
      <c r="B122" s="181"/>
      <c r="C122" s="181"/>
      <c r="D122" s="181"/>
      <c r="E122" s="181"/>
      <c r="F122" s="181"/>
      <c r="G122" s="181"/>
      <c r="H122" s="181"/>
      <c r="I122" s="181"/>
      <c r="J122" s="181"/>
      <c r="K122" s="181"/>
      <c r="L122" s="181"/>
    </row>
    <row r="129" spans="1:6" ht="12">
      <c r="A129" s="181"/>
      <c r="B129" s="181"/>
      <c r="C129" s="181"/>
      <c r="D129" s="181"/>
      <c r="E129" s="181"/>
      <c r="F129" s="181"/>
    </row>
    <row r="130" spans="1:6" ht="31.5" customHeight="1">
      <c r="A130" s="835" t="s">
        <v>275</v>
      </c>
      <c r="B130" s="835"/>
      <c r="C130" s="835"/>
      <c r="D130" s="835"/>
      <c r="E130" s="835"/>
      <c r="F130" s="835"/>
    </row>
    <row r="131" spans="1:6" ht="36.75" thickBot="1">
      <c r="A131" s="206"/>
      <c r="B131" s="207" t="s">
        <v>231</v>
      </c>
      <c r="C131" s="207" t="s">
        <v>235</v>
      </c>
      <c r="D131" s="207" t="s">
        <v>284</v>
      </c>
      <c r="E131" s="207" t="s">
        <v>301</v>
      </c>
      <c r="F131" s="207" t="s">
        <v>373</v>
      </c>
    </row>
    <row r="132" spans="1:6" ht="12.75" thickTop="1">
      <c r="A132" s="208" t="s">
        <v>232</v>
      </c>
      <c r="B132" s="209">
        <v>1655</v>
      </c>
      <c r="C132" s="209">
        <v>1596</v>
      </c>
      <c r="D132" s="209">
        <v>1460</v>
      </c>
      <c r="E132" s="209">
        <f>462+848</f>
        <v>1310</v>
      </c>
      <c r="F132" s="209">
        <v>1154</v>
      </c>
    </row>
    <row r="133" spans="1:6" ht="12">
      <c r="A133" s="208" t="s">
        <v>2</v>
      </c>
      <c r="B133" s="209">
        <v>1359</v>
      </c>
      <c r="C133" s="209">
        <v>1554</v>
      </c>
      <c r="D133" s="209">
        <v>1500</v>
      </c>
      <c r="E133" s="209">
        <f>860+1073</f>
        <v>1933</v>
      </c>
      <c r="F133" s="209">
        <v>1549</v>
      </c>
    </row>
    <row r="134" spans="1:6" ht="12">
      <c r="A134" s="211" t="s">
        <v>234</v>
      </c>
      <c r="B134" s="212">
        <v>5181</v>
      </c>
      <c r="C134" s="212">
        <v>5210</v>
      </c>
      <c r="D134" s="212">
        <v>5170</v>
      </c>
      <c r="E134" s="212">
        <f>2290+2257</f>
        <v>4547</v>
      </c>
      <c r="F134" s="212">
        <v>4152</v>
      </c>
    </row>
    <row r="135" spans="1:6" ht="12">
      <c r="A135" s="181"/>
      <c r="B135" s="181"/>
      <c r="C135" s="181"/>
      <c r="D135" s="181"/>
      <c r="E135" s="181"/>
      <c r="F135" s="181"/>
    </row>
    <row r="136" spans="1:6" ht="12">
      <c r="A136" s="181"/>
      <c r="B136" s="181"/>
      <c r="C136" s="181"/>
      <c r="D136" s="181"/>
      <c r="E136" s="181"/>
      <c r="F136" s="181"/>
    </row>
  </sheetData>
  <sheetProtection/>
  <mergeCells count="12">
    <mergeCell ref="A2:H2"/>
    <mergeCell ref="A3:H3"/>
    <mergeCell ref="A5:H5"/>
    <mergeCell ref="A6:H6"/>
    <mergeCell ref="A14:H14"/>
    <mergeCell ref="A21:H21"/>
    <mergeCell ref="A117:F117"/>
    <mergeCell ref="A130:F130"/>
    <mergeCell ref="A22:H22"/>
    <mergeCell ref="A36:H36"/>
    <mergeCell ref="A91:K91"/>
    <mergeCell ref="A104:K104"/>
  </mergeCells>
  <printOptions/>
  <pageMargins left="0.7" right="0.7" top="0.75" bottom="0.75" header="0.3" footer="0.3"/>
  <pageSetup orientation="portrait" paperSize="9"/>
  <drawing r:id="rId3"/>
  <legacyDrawing r:id="rId2"/>
</worksheet>
</file>

<file path=xl/worksheets/sheet19.xml><?xml version="1.0" encoding="utf-8"?>
<worksheet xmlns="http://schemas.openxmlformats.org/spreadsheetml/2006/main" xmlns:r="http://schemas.openxmlformats.org/officeDocument/2006/relationships">
  <dimension ref="A1:K126"/>
  <sheetViews>
    <sheetView zoomScalePageLayoutView="0" workbookViewId="0" topLeftCell="A1">
      <selection activeCell="G30" sqref="G30"/>
    </sheetView>
  </sheetViews>
  <sheetFormatPr defaultColWidth="9.140625" defaultRowHeight="12.75"/>
  <cols>
    <col min="1" max="1" width="18.140625" style="0" customWidth="1"/>
    <col min="2" max="2" width="25.28125" style="0" customWidth="1"/>
    <col min="3" max="3" width="27.57421875" style="0" customWidth="1"/>
    <col min="4" max="4" width="13.57421875" style="0" customWidth="1"/>
    <col min="5" max="5" width="16.140625" style="0" customWidth="1"/>
    <col min="6" max="6" width="22.57421875" style="0" customWidth="1"/>
    <col min="7" max="8" width="26.421875" style="0" customWidth="1"/>
    <col min="9" max="9" width="13.8515625" style="0" customWidth="1"/>
    <col min="10" max="10" width="14.57421875" style="0" customWidth="1"/>
    <col min="11" max="12" width="9.140625" style="0" customWidth="1"/>
    <col min="13" max="17" width="27.00390625" style="0" bestFit="1" customWidth="1"/>
    <col min="18" max="18" width="21.57421875" style="0" bestFit="1" customWidth="1"/>
    <col min="19" max="19" width="12.28125" style="0" bestFit="1" customWidth="1"/>
    <col min="20" max="20" width="47.7109375" style="0" bestFit="1" customWidth="1"/>
    <col min="21" max="21" width="49.7109375" style="0" bestFit="1" customWidth="1"/>
    <col min="22" max="22" width="54.00390625" style="0" bestFit="1" customWidth="1"/>
    <col min="23" max="23" width="19.7109375" style="0" bestFit="1" customWidth="1"/>
    <col min="24" max="24" width="20.421875" style="0" bestFit="1" customWidth="1"/>
  </cols>
  <sheetData>
    <row r="1" spans="1:9" ht="53.25" customHeight="1">
      <c r="A1" s="842" t="s">
        <v>391</v>
      </c>
      <c r="B1" s="842"/>
      <c r="C1" s="842"/>
      <c r="D1" s="842"/>
      <c r="E1" s="842"/>
      <c r="F1" s="842"/>
      <c r="G1" s="842"/>
      <c r="H1" s="842"/>
      <c r="I1" s="842"/>
    </row>
    <row r="2" spans="1:9" ht="15.75">
      <c r="A2" s="463"/>
      <c r="B2" s="463"/>
      <c r="C2" s="463"/>
      <c r="D2" s="463"/>
      <c r="E2" s="463"/>
      <c r="F2" s="463"/>
      <c r="G2" s="463"/>
      <c r="H2" s="463"/>
      <c r="I2" s="463"/>
    </row>
    <row r="3" spans="1:9" ht="15.75">
      <c r="A3" t="s">
        <v>422</v>
      </c>
      <c r="B3" s="463"/>
      <c r="C3" s="463"/>
      <c r="D3" s="463"/>
      <c r="E3" s="463"/>
      <c r="F3" s="463"/>
      <c r="G3" s="463"/>
      <c r="H3" s="463"/>
      <c r="I3" s="463"/>
    </row>
    <row r="4" spans="1:9" ht="15.75">
      <c r="A4" s="463"/>
      <c r="B4" s="463"/>
      <c r="C4" s="463"/>
      <c r="D4" s="463"/>
      <c r="E4" s="463"/>
      <c r="F4" s="463"/>
      <c r="G4" s="463"/>
      <c r="H4" s="463"/>
      <c r="I4" s="463"/>
    </row>
    <row r="5" spans="1:10" ht="15.75">
      <c r="A5" s="843" t="s">
        <v>392</v>
      </c>
      <c r="B5" s="844"/>
      <c r="C5" s="844"/>
      <c r="D5" s="844"/>
      <c r="E5" s="844"/>
      <c r="F5" s="844"/>
      <c r="G5" s="844"/>
      <c r="H5" s="844"/>
      <c r="I5" s="844"/>
      <c r="J5" s="845"/>
    </row>
    <row r="6" spans="1:10" ht="48.75" customHeight="1">
      <c r="A6" s="846" t="s">
        <v>393</v>
      </c>
      <c r="B6" s="846" t="s">
        <v>394</v>
      </c>
      <c r="C6" s="846" t="s">
        <v>395</v>
      </c>
      <c r="D6" s="846" t="s">
        <v>396</v>
      </c>
      <c r="E6" s="846" t="s">
        <v>1</v>
      </c>
      <c r="F6" s="848" t="s">
        <v>2</v>
      </c>
      <c r="G6" s="849"/>
      <c r="H6" s="849"/>
      <c r="I6" s="850"/>
      <c r="J6" s="846" t="s">
        <v>234</v>
      </c>
    </row>
    <row r="7" spans="1:10" ht="24">
      <c r="A7" s="847"/>
      <c r="B7" s="847"/>
      <c r="C7" s="847"/>
      <c r="D7" s="847"/>
      <c r="E7" s="847"/>
      <c r="F7" s="464" t="s">
        <v>397</v>
      </c>
      <c r="G7" s="464" t="s">
        <v>398</v>
      </c>
      <c r="H7" s="464" t="s">
        <v>399</v>
      </c>
      <c r="I7" s="464" t="s">
        <v>400</v>
      </c>
      <c r="J7" s="847"/>
    </row>
    <row r="8" spans="1:10" ht="12.75">
      <c r="A8" s="465" t="s">
        <v>133</v>
      </c>
      <c r="B8" s="465" t="s">
        <v>401</v>
      </c>
      <c r="C8" s="465" t="s">
        <v>402</v>
      </c>
      <c r="D8" s="466">
        <v>0</v>
      </c>
      <c r="E8" s="466">
        <v>23</v>
      </c>
      <c r="F8" s="466">
        <v>15</v>
      </c>
      <c r="G8" s="466">
        <v>3</v>
      </c>
      <c r="H8" s="466">
        <v>4</v>
      </c>
      <c r="I8" s="466">
        <v>22</v>
      </c>
      <c r="J8" s="466">
        <v>1</v>
      </c>
    </row>
    <row r="9" spans="1:10" ht="12.75">
      <c r="A9" s="465"/>
      <c r="B9" s="465" t="s">
        <v>403</v>
      </c>
      <c r="C9" s="465" t="s">
        <v>404</v>
      </c>
      <c r="D9" s="466">
        <v>9</v>
      </c>
      <c r="E9" s="466">
        <v>42</v>
      </c>
      <c r="F9" s="466">
        <v>18</v>
      </c>
      <c r="G9" s="466">
        <v>3</v>
      </c>
      <c r="H9" s="466">
        <v>14</v>
      </c>
      <c r="I9" s="466">
        <v>35</v>
      </c>
      <c r="J9" s="466">
        <v>16</v>
      </c>
    </row>
    <row r="10" spans="1:10" ht="12.75">
      <c r="A10" s="465"/>
      <c r="B10" s="465"/>
      <c r="C10" s="465" t="s">
        <v>402</v>
      </c>
      <c r="D10" s="466">
        <v>1</v>
      </c>
      <c r="E10" s="466">
        <v>399</v>
      </c>
      <c r="F10" s="466">
        <v>228</v>
      </c>
      <c r="G10" s="466">
        <v>44</v>
      </c>
      <c r="H10" s="466">
        <v>76</v>
      </c>
      <c r="I10" s="466">
        <v>348</v>
      </c>
      <c r="J10" s="466">
        <v>52</v>
      </c>
    </row>
    <row r="11" spans="1:10" ht="12.75">
      <c r="A11" s="465"/>
      <c r="B11" s="465" t="s">
        <v>405</v>
      </c>
      <c r="C11" s="465" t="s">
        <v>402</v>
      </c>
      <c r="D11" s="466">
        <v>1</v>
      </c>
      <c r="E11" s="466">
        <v>67</v>
      </c>
      <c r="F11" s="466">
        <v>34</v>
      </c>
      <c r="G11" s="466">
        <v>12</v>
      </c>
      <c r="H11" s="466">
        <v>5</v>
      </c>
      <c r="I11" s="466">
        <v>51</v>
      </c>
      <c r="J11" s="466">
        <v>17</v>
      </c>
    </row>
    <row r="12" spans="1:11" s="469" customFormat="1" ht="15">
      <c r="A12" s="467" t="s">
        <v>406</v>
      </c>
      <c r="B12" s="467"/>
      <c r="C12" s="467"/>
      <c r="D12" s="468">
        <f>SUM(D8:D11)</f>
        <v>11</v>
      </c>
      <c r="E12" s="468">
        <f aca="true" t="shared" si="0" ref="E12:J12">SUM(E8:E11)</f>
        <v>531</v>
      </c>
      <c r="F12" s="468">
        <f t="shared" si="0"/>
        <v>295</v>
      </c>
      <c r="G12" s="468">
        <f t="shared" si="0"/>
        <v>62</v>
      </c>
      <c r="H12" s="468">
        <f t="shared" si="0"/>
        <v>99</v>
      </c>
      <c r="I12" s="468">
        <f t="shared" si="0"/>
        <v>456</v>
      </c>
      <c r="J12" s="468">
        <f t="shared" si="0"/>
        <v>86</v>
      </c>
      <c r="K12"/>
    </row>
    <row r="13" spans="1:10" ht="12.75">
      <c r="A13" s="465" t="s">
        <v>135</v>
      </c>
      <c r="B13" s="465" t="s">
        <v>407</v>
      </c>
      <c r="C13" s="465" t="s">
        <v>408</v>
      </c>
      <c r="D13" s="466">
        <v>0</v>
      </c>
      <c r="E13" s="466">
        <v>2</v>
      </c>
      <c r="F13" s="466">
        <v>2</v>
      </c>
      <c r="G13" s="466">
        <v>0</v>
      </c>
      <c r="H13" s="466">
        <v>0</v>
      </c>
      <c r="I13" s="466">
        <v>2</v>
      </c>
      <c r="J13" s="466">
        <v>0</v>
      </c>
    </row>
    <row r="14" spans="1:10" ht="12.75">
      <c r="A14" s="465"/>
      <c r="B14" s="465"/>
      <c r="C14" s="465" t="s">
        <v>404</v>
      </c>
      <c r="D14" s="466">
        <v>16</v>
      </c>
      <c r="E14" s="466">
        <v>30</v>
      </c>
      <c r="F14" s="466">
        <v>21</v>
      </c>
      <c r="G14" s="466">
        <v>1</v>
      </c>
      <c r="H14" s="466">
        <v>4</v>
      </c>
      <c r="I14" s="466">
        <v>26</v>
      </c>
      <c r="J14" s="466">
        <v>20</v>
      </c>
    </row>
    <row r="15" spans="1:10" ht="12.75">
      <c r="A15" s="465"/>
      <c r="B15" s="465"/>
      <c r="C15" s="465" t="s">
        <v>402</v>
      </c>
      <c r="D15" s="466">
        <v>0</v>
      </c>
      <c r="E15" s="466">
        <v>0</v>
      </c>
      <c r="F15" s="466">
        <v>0</v>
      </c>
      <c r="G15" s="466">
        <v>0</v>
      </c>
      <c r="H15" s="466">
        <v>0</v>
      </c>
      <c r="I15" s="466">
        <v>0</v>
      </c>
      <c r="J15" s="466">
        <v>0</v>
      </c>
    </row>
    <row r="16" spans="1:10" ht="12.75">
      <c r="A16" s="465"/>
      <c r="B16" s="465" t="s">
        <v>409</v>
      </c>
      <c r="C16" s="465" t="s">
        <v>410</v>
      </c>
      <c r="D16" s="466">
        <v>1</v>
      </c>
      <c r="E16" s="466">
        <v>143</v>
      </c>
      <c r="F16" s="466">
        <v>52</v>
      </c>
      <c r="G16" s="466">
        <v>10</v>
      </c>
      <c r="H16" s="466">
        <v>52</v>
      </c>
      <c r="I16" s="466">
        <v>114</v>
      </c>
      <c r="J16" s="466">
        <v>30</v>
      </c>
    </row>
    <row r="17" spans="1:11" s="469" customFormat="1" ht="15">
      <c r="A17" s="467" t="s">
        <v>411</v>
      </c>
      <c r="B17" s="467"/>
      <c r="C17" s="467"/>
      <c r="D17" s="468">
        <f>SUM(D13:D16)</f>
        <v>17</v>
      </c>
      <c r="E17" s="468">
        <f aca="true" t="shared" si="1" ref="E17:J17">SUM(E13:E16)</f>
        <v>175</v>
      </c>
      <c r="F17" s="468">
        <f t="shared" si="1"/>
        <v>75</v>
      </c>
      <c r="G17" s="468">
        <f t="shared" si="1"/>
        <v>11</v>
      </c>
      <c r="H17" s="468">
        <f t="shared" si="1"/>
        <v>56</v>
      </c>
      <c r="I17" s="468">
        <f t="shared" si="1"/>
        <v>142</v>
      </c>
      <c r="J17" s="468">
        <f t="shared" si="1"/>
        <v>50</v>
      </c>
      <c r="K17"/>
    </row>
    <row r="18" spans="1:10" ht="12.75">
      <c r="A18" s="465" t="s">
        <v>136</v>
      </c>
      <c r="B18" s="465" t="s">
        <v>412</v>
      </c>
      <c r="C18" s="465" t="s">
        <v>402</v>
      </c>
      <c r="D18" s="466">
        <v>0</v>
      </c>
      <c r="E18" s="466">
        <v>83</v>
      </c>
      <c r="F18" s="466">
        <v>42</v>
      </c>
      <c r="G18" s="466">
        <v>9</v>
      </c>
      <c r="H18" s="466">
        <v>20</v>
      </c>
      <c r="I18" s="466">
        <v>71</v>
      </c>
      <c r="J18" s="466">
        <v>12</v>
      </c>
    </row>
    <row r="19" spans="1:11" s="469" customFormat="1" ht="15">
      <c r="A19" s="467" t="s">
        <v>413</v>
      </c>
      <c r="B19" s="467"/>
      <c r="C19" s="467"/>
      <c r="D19" s="468">
        <f>SUM(D18)</f>
        <v>0</v>
      </c>
      <c r="E19" s="468">
        <f aca="true" t="shared" si="2" ref="E19:J19">SUM(E18)</f>
        <v>83</v>
      </c>
      <c r="F19" s="468">
        <f t="shared" si="2"/>
        <v>42</v>
      </c>
      <c r="G19" s="468">
        <f t="shared" si="2"/>
        <v>9</v>
      </c>
      <c r="H19" s="468">
        <f t="shared" si="2"/>
        <v>20</v>
      </c>
      <c r="I19" s="468">
        <f t="shared" si="2"/>
        <v>71</v>
      </c>
      <c r="J19" s="468">
        <f t="shared" si="2"/>
        <v>12</v>
      </c>
      <c r="K19"/>
    </row>
    <row r="20" spans="1:11" s="469" customFormat="1" ht="15">
      <c r="A20" s="467" t="s">
        <v>246</v>
      </c>
      <c r="B20" s="467"/>
      <c r="C20" s="467"/>
      <c r="D20" s="468">
        <f aca="true" t="shared" si="3" ref="D20:J20">D12+D17+D19</f>
        <v>28</v>
      </c>
      <c r="E20" s="468">
        <f t="shared" si="3"/>
        <v>789</v>
      </c>
      <c r="F20" s="468">
        <f t="shared" si="3"/>
        <v>412</v>
      </c>
      <c r="G20" s="468">
        <f t="shared" si="3"/>
        <v>82</v>
      </c>
      <c r="H20" s="468">
        <f t="shared" si="3"/>
        <v>175</v>
      </c>
      <c r="I20" s="468">
        <f t="shared" si="3"/>
        <v>669</v>
      </c>
      <c r="J20" s="468">
        <f t="shared" si="3"/>
        <v>148</v>
      </c>
      <c r="K20"/>
    </row>
    <row r="22" ht="13.5" thickBot="1"/>
    <row r="23" spans="3:8" ht="14.25" thickBot="1" thickTop="1">
      <c r="C23" s="839" t="s">
        <v>414</v>
      </c>
      <c r="D23" s="840"/>
      <c r="E23" s="841"/>
      <c r="F23" s="470">
        <v>0.6158445440956651</v>
      </c>
      <c r="G23" s="470">
        <v>0.12257100149476831</v>
      </c>
      <c r="H23" s="471">
        <v>0.2615844544095665</v>
      </c>
    </row>
    <row r="24" ht="13.5" thickTop="1"/>
    <row r="25" spans="2:4" ht="15.75" thickBot="1">
      <c r="B25" s="472" t="s">
        <v>415</v>
      </c>
      <c r="C25" s="472"/>
      <c r="D25" s="473"/>
    </row>
    <row r="26" spans="2:4" ht="15">
      <c r="B26" s="474" t="s">
        <v>416</v>
      </c>
      <c r="C26" s="475">
        <v>82</v>
      </c>
      <c r="D26" s="476">
        <v>0.31906614785992216</v>
      </c>
    </row>
    <row r="27" spans="2:4" ht="15">
      <c r="B27" s="477" t="s">
        <v>417</v>
      </c>
      <c r="C27" s="478">
        <v>175</v>
      </c>
      <c r="D27" s="479">
        <v>0.6809338521400778</v>
      </c>
    </row>
    <row r="28" spans="2:4" ht="27.75" customHeight="1" thickBot="1">
      <c r="B28" s="480" t="s">
        <v>418</v>
      </c>
      <c r="C28" s="481">
        <v>257</v>
      </c>
      <c r="D28" s="482"/>
    </row>
    <row r="30" spans="1:9" ht="15.75">
      <c r="A30" s="483" t="s">
        <v>419</v>
      </c>
      <c r="C30" s="463"/>
      <c r="D30" s="463"/>
      <c r="E30" s="463"/>
      <c r="F30" s="463"/>
      <c r="G30" s="463"/>
      <c r="H30" s="463"/>
      <c r="I30" s="463"/>
    </row>
    <row r="31" spans="1:9" ht="15.75">
      <c r="A31" s="483" t="s">
        <v>420</v>
      </c>
      <c r="C31" s="463"/>
      <c r="D31" s="463"/>
      <c r="E31" s="463"/>
      <c r="F31" s="463"/>
      <c r="G31" s="463"/>
      <c r="H31" s="463"/>
      <c r="I31" s="463"/>
    </row>
    <row r="32" spans="1:9" ht="15.75">
      <c r="A32" s="483" t="s">
        <v>421</v>
      </c>
      <c r="C32" s="463"/>
      <c r="D32" s="463"/>
      <c r="E32" s="463"/>
      <c r="F32" s="463"/>
      <c r="G32" s="463"/>
      <c r="H32" s="463"/>
      <c r="I32" s="463"/>
    </row>
    <row r="35" ht="48.75" customHeight="1"/>
    <row r="37" ht="12.75">
      <c r="E37" s="484"/>
    </row>
    <row r="38" ht="12.75">
      <c r="E38" s="484"/>
    </row>
    <row r="39" ht="12.75">
      <c r="E39" s="484"/>
    </row>
    <row r="40" ht="12.75">
      <c r="E40" s="484"/>
    </row>
    <row r="41" ht="12.75">
      <c r="E41" s="484"/>
    </row>
    <row r="42" ht="12.75">
      <c r="E42" s="484"/>
    </row>
    <row r="43" ht="12.75">
      <c r="E43" s="484"/>
    </row>
    <row r="44" ht="12.75">
      <c r="E44" s="484"/>
    </row>
    <row r="45" ht="12.75">
      <c r="E45" s="484"/>
    </row>
    <row r="46" ht="12.75">
      <c r="E46" s="484"/>
    </row>
    <row r="47" ht="12.75">
      <c r="E47" s="484"/>
    </row>
    <row r="48" ht="12.75">
      <c r="E48" s="484"/>
    </row>
    <row r="49" ht="12.75">
      <c r="E49" s="484"/>
    </row>
    <row r="50" ht="12.75">
      <c r="E50" s="484"/>
    </row>
    <row r="51" ht="12.75">
      <c r="E51" s="484"/>
    </row>
    <row r="52" ht="12.75">
      <c r="E52" s="484"/>
    </row>
    <row r="53" ht="12.75">
      <c r="E53" s="484"/>
    </row>
    <row r="54" ht="12.75">
      <c r="E54" s="484"/>
    </row>
    <row r="55" ht="12.75">
      <c r="E55" s="484"/>
    </row>
    <row r="56" ht="12.75">
      <c r="E56" s="484"/>
    </row>
    <row r="57" ht="12.75">
      <c r="E57" s="484"/>
    </row>
    <row r="58" ht="12.75">
      <c r="E58" s="484"/>
    </row>
    <row r="59" ht="12.75">
      <c r="E59" s="484"/>
    </row>
    <row r="60" ht="12.75">
      <c r="E60" s="484"/>
    </row>
    <row r="61" ht="12.75">
      <c r="E61" s="484"/>
    </row>
    <row r="62" ht="12.75">
      <c r="E62" s="484"/>
    </row>
    <row r="63" ht="12.75">
      <c r="E63" s="484"/>
    </row>
    <row r="64" ht="12.75">
      <c r="E64" s="484"/>
    </row>
    <row r="65" ht="12.75">
      <c r="E65" s="484"/>
    </row>
    <row r="66" ht="12.75">
      <c r="E66" s="484"/>
    </row>
    <row r="67" ht="12.75">
      <c r="E67" s="484"/>
    </row>
    <row r="68" ht="12.75">
      <c r="E68" s="484"/>
    </row>
    <row r="69" ht="12.75">
      <c r="E69" s="484"/>
    </row>
    <row r="102" spans="3:9" ht="15.75">
      <c r="C102" s="463"/>
      <c r="D102" s="463"/>
      <c r="E102" s="463"/>
      <c r="F102" s="463"/>
      <c r="G102" s="463"/>
      <c r="H102" s="463"/>
      <c r="I102" s="463"/>
    </row>
    <row r="103" spans="3:9" ht="15.75">
      <c r="C103" s="463"/>
      <c r="D103" s="463"/>
      <c r="E103" s="463"/>
      <c r="F103" s="463"/>
      <c r="G103" s="463"/>
      <c r="H103" s="463"/>
      <c r="I103" s="463"/>
    </row>
    <row r="104" spans="3:9" ht="15.75">
      <c r="C104" s="463"/>
      <c r="D104" s="463"/>
      <c r="E104" s="463"/>
      <c r="F104" s="463"/>
      <c r="G104" s="463"/>
      <c r="H104" s="463"/>
      <c r="I104" s="463"/>
    </row>
    <row r="108" ht="48.75" customHeight="1"/>
    <row r="110" ht="12.75">
      <c r="E110" s="484"/>
    </row>
    <row r="111" ht="12.75">
      <c r="E111" s="484"/>
    </row>
    <row r="112" ht="12.75">
      <c r="E112" s="484"/>
    </row>
    <row r="113" ht="12.75">
      <c r="E113" s="484"/>
    </row>
    <row r="114" ht="12.75">
      <c r="E114" s="484"/>
    </row>
    <row r="115" ht="12.75">
      <c r="E115" s="484"/>
    </row>
    <row r="116" ht="12.75">
      <c r="E116" s="484"/>
    </row>
    <row r="117" ht="12.75">
      <c r="E117" s="484"/>
    </row>
    <row r="118" ht="12.75">
      <c r="E118" s="484"/>
    </row>
    <row r="119" ht="12.75">
      <c r="E119" s="484"/>
    </row>
    <row r="120" ht="12.75">
      <c r="E120" s="484"/>
    </row>
    <row r="121" ht="12.75">
      <c r="E121" s="484"/>
    </row>
    <row r="122" ht="12.75">
      <c r="E122" s="484"/>
    </row>
    <row r="123" ht="12.75">
      <c r="E123" s="484"/>
    </row>
    <row r="124" ht="12.75">
      <c r="E124" s="484"/>
    </row>
    <row r="125" ht="12.75">
      <c r="E125" s="484"/>
    </row>
    <row r="126" ht="12.75">
      <c r="E126" s="484"/>
    </row>
  </sheetData>
  <sheetProtection/>
  <mergeCells count="10">
    <mergeCell ref="C23:E23"/>
    <mergeCell ref="A1:I1"/>
    <mergeCell ref="A5:J5"/>
    <mergeCell ref="A6:A7"/>
    <mergeCell ref="B6:B7"/>
    <mergeCell ref="C6:C7"/>
    <mergeCell ref="D6:D7"/>
    <mergeCell ref="E6:E7"/>
    <mergeCell ref="F6:I6"/>
    <mergeCell ref="J6:J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R95"/>
  <sheetViews>
    <sheetView zoomScaleSheetLayoutView="100" zoomScalePageLayoutView="0" workbookViewId="0" topLeftCell="A1">
      <selection activeCell="P25" sqref="P25"/>
    </sheetView>
  </sheetViews>
  <sheetFormatPr defaultColWidth="9.140625" defaultRowHeight="12.75"/>
  <cols>
    <col min="1" max="1" width="33.28125" style="12" customWidth="1"/>
    <col min="2" max="2" width="8.7109375" style="60" customWidth="1"/>
    <col min="3" max="3" width="11.8515625" style="60" customWidth="1"/>
    <col min="4" max="4" width="10.421875" style="60" customWidth="1"/>
    <col min="5" max="5" width="8.28125" style="60" customWidth="1"/>
    <col min="6" max="6" width="9.00390625" style="60" customWidth="1"/>
    <col min="7" max="7" width="7.28125" style="60" customWidth="1"/>
    <col min="8" max="8" width="7.57421875" style="60" customWidth="1"/>
    <col min="9" max="9" width="9.00390625" style="60" customWidth="1"/>
    <col min="10" max="10" width="6.57421875" style="60" customWidth="1"/>
    <col min="11" max="11" width="9.8515625" style="60" customWidth="1"/>
    <col min="12" max="12" width="8.00390625" style="60" customWidth="1"/>
    <col min="13" max="13" width="7.421875" style="69" customWidth="1"/>
    <col min="14" max="18" width="6.57421875" style="69" customWidth="1"/>
    <col min="19" max="16384" width="9.140625" style="12" customWidth="1"/>
  </cols>
  <sheetData>
    <row r="1" spans="1:18" s="26" customFormat="1" ht="33.75" customHeight="1">
      <c r="A1" s="735" t="s">
        <v>364</v>
      </c>
      <c r="B1" s="736"/>
      <c r="C1" s="736"/>
      <c r="D1" s="736"/>
      <c r="E1" s="736"/>
      <c r="F1" s="736"/>
      <c r="G1" s="736"/>
      <c r="H1" s="736"/>
      <c r="I1" s="736"/>
      <c r="J1" s="736"/>
      <c r="K1" s="736"/>
      <c r="L1" s="736"/>
      <c r="M1" s="68"/>
      <c r="N1" s="68"/>
      <c r="O1" s="68"/>
      <c r="P1" s="68"/>
      <c r="Q1" s="68"/>
      <c r="R1" s="68"/>
    </row>
    <row r="2" spans="1:7" ht="12.75">
      <c r="A2" s="13"/>
      <c r="F2" s="256"/>
      <c r="G2" s="256"/>
    </row>
    <row r="3" spans="1:18" s="58" customFormat="1" ht="25.5" customHeight="1">
      <c r="A3" s="723" t="s">
        <v>37</v>
      </c>
      <c r="B3" s="732" t="s">
        <v>365</v>
      </c>
      <c r="C3" s="721"/>
      <c r="D3" s="721"/>
      <c r="E3" s="722"/>
      <c r="F3" s="721" t="s">
        <v>298</v>
      </c>
      <c r="G3" s="721"/>
      <c r="H3" s="721"/>
      <c r="I3" s="722"/>
      <c r="J3" s="729" t="s">
        <v>299</v>
      </c>
      <c r="K3" s="730"/>
      <c r="L3" s="731"/>
      <c r="M3" s="718" t="s">
        <v>365</v>
      </c>
      <c r="N3" s="719"/>
      <c r="O3" s="720"/>
      <c r="P3" s="719" t="s">
        <v>298</v>
      </c>
      <c r="Q3" s="719"/>
      <c r="R3" s="720"/>
    </row>
    <row r="4" spans="1:18" s="58" customFormat="1" ht="21.75" customHeight="1">
      <c r="A4" s="724"/>
      <c r="B4" s="77" t="s">
        <v>222</v>
      </c>
      <c r="C4" s="78" t="s">
        <v>1</v>
      </c>
      <c r="D4" s="79" t="s">
        <v>2</v>
      </c>
      <c r="E4" s="79" t="s">
        <v>3</v>
      </c>
      <c r="F4" s="77" t="s">
        <v>222</v>
      </c>
      <c r="G4" s="78" t="s">
        <v>1</v>
      </c>
      <c r="H4" s="79" t="s">
        <v>2</v>
      </c>
      <c r="I4" s="79" t="s">
        <v>3</v>
      </c>
      <c r="J4" s="79" t="s">
        <v>1</v>
      </c>
      <c r="K4" s="79" t="s">
        <v>2</v>
      </c>
      <c r="L4" s="79" t="s">
        <v>3</v>
      </c>
      <c r="M4" s="91" t="s">
        <v>223</v>
      </c>
      <c r="N4" s="91" t="s">
        <v>224</v>
      </c>
      <c r="O4" s="91" t="s">
        <v>225</v>
      </c>
      <c r="P4" s="91" t="s">
        <v>223</v>
      </c>
      <c r="Q4" s="91" t="s">
        <v>224</v>
      </c>
      <c r="R4" s="91" t="s">
        <v>225</v>
      </c>
    </row>
    <row r="5" spans="1:18" s="59" customFormat="1" ht="16.5" customHeight="1">
      <c r="A5" s="61" t="s">
        <v>137</v>
      </c>
      <c r="B5" s="244">
        <f>E5-C5+D5</f>
        <v>13485</v>
      </c>
      <c r="C5" s="353">
        <v>3668</v>
      </c>
      <c r="D5" s="353">
        <v>4330</v>
      </c>
      <c r="E5" s="353">
        <v>12823</v>
      </c>
      <c r="F5" s="244">
        <f>I5-G5+H5</f>
        <v>15043</v>
      </c>
      <c r="G5" s="353">
        <v>3632</v>
      </c>
      <c r="H5" s="353">
        <v>5188</v>
      </c>
      <c r="I5" s="353">
        <v>13487</v>
      </c>
      <c r="J5" s="257">
        <f aca="true" t="shared" si="0" ref="J5:L6">(G5-C5)/C5</f>
        <v>-0.009814612868047983</v>
      </c>
      <c r="K5" s="257">
        <f t="shared" si="0"/>
        <v>0.1981524249422633</v>
      </c>
      <c r="L5" s="257">
        <f t="shared" si="0"/>
        <v>0.05178195430086563</v>
      </c>
      <c r="M5" s="92">
        <f>IF(C5&gt;0,D5/C5," ")</f>
        <v>1.1804798255179934</v>
      </c>
      <c r="N5" s="92">
        <f>IF(D5&gt;0,D5/(B5+C5))</f>
        <v>0.2524339765638664</v>
      </c>
      <c r="O5" s="93">
        <f>IF((C5+D5)&gt;0,(B5+E5)/(C5+D5)," ")</f>
        <v>3.2893223305826456</v>
      </c>
      <c r="P5" s="92">
        <f>IF(G5&gt;0,H5/G5," ")</f>
        <v>1.4284140969162995</v>
      </c>
      <c r="Q5" s="92">
        <f>IF(H5&gt;0,H5/(F5+G5))</f>
        <v>0.2778045515394913</v>
      </c>
      <c r="R5" s="93">
        <f>IF((G5+H5)&gt;0,(F5+I5)/(G5+H5)," ")</f>
        <v>3.2346938775510203</v>
      </c>
    </row>
    <row r="6" spans="1:18" s="58" customFormat="1" ht="16.5" customHeight="1" thickBot="1">
      <c r="A6" s="62" t="s">
        <v>138</v>
      </c>
      <c r="B6" s="643">
        <f>E6-C6+D6</f>
        <v>3107</v>
      </c>
      <c r="C6" s="354">
        <v>2032</v>
      </c>
      <c r="D6" s="354">
        <v>1534</v>
      </c>
      <c r="E6" s="354">
        <v>3605</v>
      </c>
      <c r="F6" s="643">
        <f>I6-G6+H6</f>
        <v>3260</v>
      </c>
      <c r="G6" s="354">
        <v>1539</v>
      </c>
      <c r="H6" s="354">
        <v>1692</v>
      </c>
      <c r="I6" s="354">
        <v>3107</v>
      </c>
      <c r="J6" s="502">
        <f t="shared" si="0"/>
        <v>-0.24261811023622049</v>
      </c>
      <c r="K6" s="502">
        <f t="shared" si="0"/>
        <v>0.10299869621903521</v>
      </c>
      <c r="L6" s="502">
        <f t="shared" si="0"/>
        <v>-0.13814147018030512</v>
      </c>
      <c r="M6" s="92">
        <f>IF(C6&gt;0,D6/C6," ")</f>
        <v>0.7549212598425197</v>
      </c>
      <c r="N6" s="92">
        <f>IF(D6&gt;0,D6/(B6+C6))</f>
        <v>0.2985016540182915</v>
      </c>
      <c r="O6" s="93">
        <f>IF((C6+D6)&gt;0,(B6+E6)/(C6+D6)," ")</f>
        <v>1.8822209758833426</v>
      </c>
      <c r="P6" s="92">
        <f>IF(G6&gt;0,H6/G6," ")</f>
        <v>1.0994152046783625</v>
      </c>
      <c r="Q6" s="92">
        <f>IF(H6&gt;0,H6/(F6+G6))</f>
        <v>0.3525734528026672</v>
      </c>
      <c r="R6" s="93">
        <f>IF((G6+H6)&gt;0,(F6+I6)/(G6+H6)," ")</f>
        <v>1.9705973382853605</v>
      </c>
    </row>
    <row r="7" spans="1:18" s="89" customFormat="1" ht="16.5" customHeight="1" thickTop="1">
      <c r="A7" s="82"/>
      <c r="B7" s="83"/>
      <c r="C7" s="84"/>
      <c r="D7" s="84"/>
      <c r="E7" s="84"/>
      <c r="F7" s="84"/>
      <c r="G7" s="84"/>
      <c r="H7" s="84"/>
      <c r="I7" s="85"/>
      <c r="J7" s="86"/>
      <c r="K7" s="86"/>
      <c r="L7" s="86"/>
      <c r="M7" s="87"/>
      <c r="N7" s="87"/>
      <c r="O7" s="88"/>
      <c r="P7" s="87"/>
      <c r="Q7" s="87"/>
      <c r="R7" s="88"/>
    </row>
    <row r="8" spans="1:18" s="58" customFormat="1" ht="36" customHeight="1">
      <c r="A8" s="725" t="s">
        <v>367</v>
      </c>
      <c r="B8" s="726"/>
      <c r="C8" s="726"/>
      <c r="D8" s="726"/>
      <c r="E8" s="726"/>
      <c r="F8" s="726"/>
      <c r="G8" s="726"/>
      <c r="H8" s="726"/>
      <c r="I8" s="726"/>
      <c r="J8" s="726"/>
      <c r="K8" s="726"/>
      <c r="L8" s="726"/>
      <c r="M8" s="726"/>
      <c r="N8" s="726"/>
      <c r="O8" s="726"/>
      <c r="P8" s="726"/>
      <c r="Q8" s="726"/>
      <c r="R8" s="727"/>
    </row>
    <row r="9" spans="1:18" s="58" customFormat="1" ht="41.25" customHeight="1">
      <c r="A9" s="723" t="s">
        <v>37</v>
      </c>
      <c r="B9" s="732" t="s">
        <v>365</v>
      </c>
      <c r="C9" s="721"/>
      <c r="D9" s="721"/>
      <c r="E9" s="722"/>
      <c r="F9" s="721" t="s">
        <v>298</v>
      </c>
      <c r="G9" s="721"/>
      <c r="H9" s="721"/>
      <c r="I9" s="722"/>
      <c r="J9" s="729" t="s">
        <v>299</v>
      </c>
      <c r="K9" s="730"/>
      <c r="L9" s="731"/>
      <c r="M9" s="718" t="s">
        <v>365</v>
      </c>
      <c r="N9" s="719"/>
      <c r="O9" s="720"/>
      <c r="P9" s="728" t="s">
        <v>298</v>
      </c>
      <c r="Q9" s="719"/>
      <c r="R9" s="720"/>
    </row>
    <row r="10" spans="1:18" s="58" customFormat="1" ht="21.75" customHeight="1">
      <c r="A10" s="724"/>
      <c r="B10" s="77" t="s">
        <v>222</v>
      </c>
      <c r="C10" s="78" t="s">
        <v>1</v>
      </c>
      <c r="D10" s="79" t="s">
        <v>2</v>
      </c>
      <c r="E10" s="79" t="s">
        <v>3</v>
      </c>
      <c r="F10" s="77" t="s">
        <v>222</v>
      </c>
      <c r="G10" s="78" t="s">
        <v>1</v>
      </c>
      <c r="H10" s="79" t="s">
        <v>2</v>
      </c>
      <c r="I10" s="79" t="s">
        <v>3</v>
      </c>
      <c r="J10" s="79" t="s">
        <v>1</v>
      </c>
      <c r="K10" s="79" t="s">
        <v>2</v>
      </c>
      <c r="L10" s="79" t="s">
        <v>3</v>
      </c>
      <c r="M10" s="94" t="s">
        <v>223</v>
      </c>
      <c r="N10" s="94" t="s">
        <v>224</v>
      </c>
      <c r="O10" s="94" t="s">
        <v>225</v>
      </c>
      <c r="P10" s="94" t="s">
        <v>223</v>
      </c>
      <c r="Q10" s="94" t="s">
        <v>224</v>
      </c>
      <c r="R10" s="94" t="s">
        <v>225</v>
      </c>
    </row>
    <row r="11" spans="1:18" s="90" customFormat="1" ht="16.5" customHeight="1">
      <c r="A11" s="65" t="s">
        <v>139</v>
      </c>
      <c r="B11" s="240">
        <f>E11-C11+D11</f>
        <v>8839</v>
      </c>
      <c r="C11" s="355">
        <v>7444</v>
      </c>
      <c r="D11" s="355">
        <v>6093</v>
      </c>
      <c r="E11" s="355">
        <v>10190</v>
      </c>
      <c r="F11" s="240">
        <f>I11-G11+H11</f>
        <v>8665</v>
      </c>
      <c r="G11" s="355">
        <v>5381</v>
      </c>
      <c r="H11" s="355">
        <v>5207</v>
      </c>
      <c r="I11" s="355">
        <v>8839</v>
      </c>
      <c r="J11" s="254">
        <f>(G11-C11)/C11</f>
        <v>-0.27713594841483075</v>
      </c>
      <c r="K11" s="254">
        <f>(H11-D11)/D11</f>
        <v>-0.14541276875102577</v>
      </c>
      <c r="L11" s="254">
        <f>(I11-E11)/E11</f>
        <v>-0.1325809617271835</v>
      </c>
      <c r="M11" s="95">
        <f aca="true" t="shared" si="1" ref="M11:M32">IF(C11&gt;0,D11/C11," ")</f>
        <v>0.8185115529285331</v>
      </c>
      <c r="N11" s="95">
        <f aca="true" t="shared" si="2" ref="N11:N32">IF(D11&gt;0,D11/(B11+C11))</f>
        <v>0.37419394460480254</v>
      </c>
      <c r="O11" s="96">
        <f aca="true" t="shared" si="3" ref="O11:O32">IF((C11+D11)&gt;0,(B11+E11)/(C11+D11)," ")</f>
        <v>1.4057028883799956</v>
      </c>
      <c r="P11" s="95">
        <f aca="true" t="shared" si="4" ref="P11:P32">IF(G11&gt;0,H11/G11," ")</f>
        <v>0.967664002973425</v>
      </c>
      <c r="Q11" s="95">
        <f aca="true" t="shared" si="5" ref="Q11:Q32">IF(H11&gt;0,H11/(F11+G11))</f>
        <v>0.37071052256870285</v>
      </c>
      <c r="R11" s="96">
        <f aca="true" t="shared" si="6" ref="R11:R32">IF((G11+H11)&gt;0,(F11+I11)/(G11+H11)," ")</f>
        <v>1.6531922931620702</v>
      </c>
    </row>
    <row r="12" spans="1:18" s="58" customFormat="1" ht="16.5" customHeight="1">
      <c r="A12" s="63" t="s">
        <v>140</v>
      </c>
      <c r="B12" s="240">
        <f aca="true" t="shared" si="7" ref="B12:B32">E12-C12+D12</f>
        <v>1884</v>
      </c>
      <c r="C12" s="356">
        <v>128</v>
      </c>
      <c r="D12" s="356">
        <v>115</v>
      </c>
      <c r="E12" s="356">
        <v>1897</v>
      </c>
      <c r="F12" s="240">
        <f aca="true" t="shared" si="8" ref="F12:F32">I12-G12+H12</f>
        <v>1909</v>
      </c>
      <c r="G12" s="356">
        <v>927</v>
      </c>
      <c r="H12" s="356">
        <v>952</v>
      </c>
      <c r="I12" s="356">
        <v>1884</v>
      </c>
      <c r="J12" s="254">
        <f aca="true" t="shared" si="9" ref="J12:J32">(G12-C12)/C12</f>
        <v>6.2421875</v>
      </c>
      <c r="K12" s="254">
        <f aca="true" t="shared" si="10" ref="K12:K32">(H12-D12)/D12</f>
        <v>7.278260869565218</v>
      </c>
      <c r="L12" s="254">
        <f aca="true" t="shared" si="11" ref="L12:L32">(I12-E12)/E12</f>
        <v>-0.006852925672113864</v>
      </c>
      <c r="M12" s="95">
        <f t="shared" si="1"/>
        <v>0.8984375</v>
      </c>
      <c r="N12" s="95">
        <f t="shared" si="2"/>
        <v>0.05715705765407555</v>
      </c>
      <c r="O12" s="96">
        <f t="shared" si="3"/>
        <v>15.559670781893004</v>
      </c>
      <c r="P12" s="95">
        <f t="shared" si="4"/>
        <v>1.0269687162891046</v>
      </c>
      <c r="Q12" s="95">
        <f t="shared" si="5"/>
        <v>0.33568406205923834</v>
      </c>
      <c r="R12" s="96">
        <f t="shared" si="6"/>
        <v>2.018626929217669</v>
      </c>
    </row>
    <row r="13" spans="1:18" s="58" customFormat="1" ht="16.5" customHeight="1" thickBot="1">
      <c r="A13" s="64" t="s">
        <v>141</v>
      </c>
      <c r="B13" s="258">
        <f t="shared" si="7"/>
        <v>10723</v>
      </c>
      <c r="C13" s="357">
        <f>C11+C12</f>
        <v>7572</v>
      </c>
      <c r="D13" s="357">
        <f>D11+D12</f>
        <v>6208</v>
      </c>
      <c r="E13" s="357">
        <f>E11+E12</f>
        <v>12087</v>
      </c>
      <c r="F13" s="258">
        <f t="shared" si="8"/>
        <v>10574</v>
      </c>
      <c r="G13" s="357">
        <f>G11+G12</f>
        <v>6308</v>
      </c>
      <c r="H13" s="357">
        <f>H11+H12</f>
        <v>6159</v>
      </c>
      <c r="I13" s="357">
        <f>I11+I12</f>
        <v>10723</v>
      </c>
      <c r="J13" s="502">
        <f t="shared" si="9"/>
        <v>-0.1669307976756471</v>
      </c>
      <c r="K13" s="502">
        <f t="shared" si="10"/>
        <v>-0.007893041237113402</v>
      </c>
      <c r="L13" s="502">
        <f t="shared" si="11"/>
        <v>-0.11284851493339952</v>
      </c>
      <c r="M13" s="503">
        <f t="shared" si="1"/>
        <v>0.8198626518753301</v>
      </c>
      <c r="N13" s="503">
        <f t="shared" si="2"/>
        <v>0.33932768515987977</v>
      </c>
      <c r="O13" s="504">
        <f t="shared" si="3"/>
        <v>1.6552975326560233</v>
      </c>
      <c r="P13" s="505">
        <f t="shared" si="4"/>
        <v>0.9763792010145846</v>
      </c>
      <c r="Q13" s="505">
        <f t="shared" si="5"/>
        <v>0.36482644236464873</v>
      </c>
      <c r="R13" s="506">
        <f t="shared" si="6"/>
        <v>1.7082698323574237</v>
      </c>
    </row>
    <row r="14" spans="1:18" s="58" customFormat="1" ht="16.5" customHeight="1" thickTop="1">
      <c r="A14" s="65" t="s">
        <v>142</v>
      </c>
      <c r="B14" s="240">
        <f t="shared" si="7"/>
        <v>67205</v>
      </c>
      <c r="C14" s="355">
        <v>53046</v>
      </c>
      <c r="D14" s="355">
        <v>41066</v>
      </c>
      <c r="E14" s="355">
        <v>79185</v>
      </c>
      <c r="F14" s="240">
        <f t="shared" si="8"/>
        <v>59797</v>
      </c>
      <c r="G14" s="355">
        <v>36978</v>
      </c>
      <c r="H14" s="355">
        <v>30663</v>
      </c>
      <c r="I14" s="355">
        <v>66112</v>
      </c>
      <c r="J14" s="254">
        <f t="shared" si="9"/>
        <v>-0.3029069109829205</v>
      </c>
      <c r="K14" s="254">
        <f t="shared" si="10"/>
        <v>-0.2533239175960649</v>
      </c>
      <c r="L14" s="254">
        <f t="shared" si="11"/>
        <v>-0.1650943991917661</v>
      </c>
      <c r="M14" s="500">
        <f t="shared" si="1"/>
        <v>0.7741582777212231</v>
      </c>
      <c r="N14" s="500">
        <f t="shared" si="2"/>
        <v>0.341502357568752</v>
      </c>
      <c r="O14" s="501">
        <f t="shared" si="3"/>
        <v>1.5554870792247535</v>
      </c>
      <c r="P14" s="500">
        <f t="shared" si="4"/>
        <v>0.8292227811130942</v>
      </c>
      <c r="Q14" s="500">
        <f t="shared" si="5"/>
        <v>0.31684835959700336</v>
      </c>
      <c r="R14" s="501">
        <f t="shared" si="6"/>
        <v>1.8614301976611818</v>
      </c>
    </row>
    <row r="15" spans="1:18" s="58" customFormat="1" ht="16.5" customHeight="1">
      <c r="A15" s="538" t="s">
        <v>143</v>
      </c>
      <c r="B15" s="240">
        <f t="shared" si="7"/>
        <v>0</v>
      </c>
      <c r="C15" s="497">
        <v>0</v>
      </c>
      <c r="D15" s="497">
        <v>0</v>
      </c>
      <c r="E15" s="497">
        <v>0</v>
      </c>
      <c r="F15" s="240">
        <f t="shared" si="8"/>
        <v>3125</v>
      </c>
      <c r="G15" s="356">
        <v>2561</v>
      </c>
      <c r="H15" s="356">
        <v>3205</v>
      </c>
      <c r="I15" s="356">
        <v>2481</v>
      </c>
      <c r="J15" s="499" t="s">
        <v>458</v>
      </c>
      <c r="K15" s="499" t="s">
        <v>458</v>
      </c>
      <c r="L15" s="499" t="s">
        <v>458</v>
      </c>
      <c r="M15" s="95" t="s">
        <v>458</v>
      </c>
      <c r="N15" s="95" t="s">
        <v>458</v>
      </c>
      <c r="O15" s="96" t="s">
        <v>458</v>
      </c>
      <c r="P15" s="95">
        <f t="shared" si="4"/>
        <v>1.2514642717688402</v>
      </c>
      <c r="Q15" s="95">
        <f t="shared" si="5"/>
        <v>0.563665142455153</v>
      </c>
      <c r="R15" s="96">
        <f t="shared" si="6"/>
        <v>0.9722511272979535</v>
      </c>
    </row>
    <row r="16" spans="1:18" s="58" customFormat="1" ht="16.5" customHeight="1">
      <c r="A16" s="63" t="s">
        <v>144</v>
      </c>
      <c r="B16" s="240">
        <f t="shared" si="7"/>
        <v>1730</v>
      </c>
      <c r="C16" s="356">
        <v>100</v>
      </c>
      <c r="D16" s="356">
        <v>1555</v>
      </c>
      <c r="E16" s="356">
        <v>275</v>
      </c>
      <c r="F16" s="240">
        <f t="shared" si="8"/>
        <v>1396</v>
      </c>
      <c r="G16" s="356">
        <v>1182</v>
      </c>
      <c r="H16" s="356">
        <v>848</v>
      </c>
      <c r="I16" s="356">
        <v>1730</v>
      </c>
      <c r="J16" s="254">
        <f t="shared" si="9"/>
        <v>10.82</v>
      </c>
      <c r="K16" s="254">
        <f t="shared" si="10"/>
        <v>-0.45466237942122184</v>
      </c>
      <c r="L16" s="254">
        <f t="shared" si="11"/>
        <v>5.290909090909091</v>
      </c>
      <c r="M16" s="95">
        <f t="shared" si="1"/>
        <v>15.55</v>
      </c>
      <c r="N16" s="95">
        <f t="shared" si="2"/>
        <v>0.8497267759562842</v>
      </c>
      <c r="O16" s="96">
        <f t="shared" si="3"/>
        <v>1.2114803625377644</v>
      </c>
      <c r="P16" s="95">
        <f t="shared" si="4"/>
        <v>0.7174280879864636</v>
      </c>
      <c r="Q16" s="95">
        <f t="shared" si="5"/>
        <v>0.32893716058960437</v>
      </c>
      <c r="R16" s="96">
        <f t="shared" si="6"/>
        <v>1.5399014778325124</v>
      </c>
    </row>
    <row r="17" spans="1:18" s="58" customFormat="1" ht="16.5" customHeight="1">
      <c r="A17" s="538" t="s">
        <v>145</v>
      </c>
      <c r="B17" s="240">
        <f t="shared" si="7"/>
        <v>0</v>
      </c>
      <c r="C17" s="497">
        <v>0</v>
      </c>
      <c r="D17" s="497">
        <v>0</v>
      </c>
      <c r="E17" s="497">
        <v>0</v>
      </c>
      <c r="F17" s="240">
        <f t="shared" si="8"/>
        <v>1019</v>
      </c>
      <c r="G17" s="356">
        <v>930</v>
      </c>
      <c r="H17" s="356">
        <v>1401</v>
      </c>
      <c r="I17" s="356">
        <v>548</v>
      </c>
      <c r="J17" s="499" t="s">
        <v>458</v>
      </c>
      <c r="K17" s="499" t="s">
        <v>458</v>
      </c>
      <c r="L17" s="499" t="s">
        <v>458</v>
      </c>
      <c r="M17" s="95" t="s">
        <v>458</v>
      </c>
      <c r="N17" s="95" t="s">
        <v>458</v>
      </c>
      <c r="O17" s="96" t="s">
        <v>458</v>
      </c>
      <c r="P17" s="95">
        <f t="shared" si="4"/>
        <v>1.5064516129032257</v>
      </c>
      <c r="Q17" s="95">
        <f t="shared" si="5"/>
        <v>0.7188301693175988</v>
      </c>
      <c r="R17" s="96">
        <f t="shared" si="6"/>
        <v>0.6722436722436722</v>
      </c>
    </row>
    <row r="18" spans="1:18" s="58" customFormat="1" ht="16.5" customHeight="1">
      <c r="A18" s="538" t="s">
        <v>146</v>
      </c>
      <c r="B18" s="240">
        <f t="shared" si="7"/>
        <v>0</v>
      </c>
      <c r="C18" s="497">
        <v>0</v>
      </c>
      <c r="D18" s="497">
        <v>0</v>
      </c>
      <c r="E18" s="497">
        <v>0</v>
      </c>
      <c r="F18" s="240">
        <f t="shared" si="8"/>
        <v>959</v>
      </c>
      <c r="G18" s="356">
        <v>577</v>
      </c>
      <c r="H18" s="356">
        <v>661</v>
      </c>
      <c r="I18" s="356">
        <v>875</v>
      </c>
      <c r="J18" s="499" t="s">
        <v>458</v>
      </c>
      <c r="K18" s="499" t="s">
        <v>458</v>
      </c>
      <c r="L18" s="499" t="s">
        <v>458</v>
      </c>
      <c r="M18" s="95" t="s">
        <v>458</v>
      </c>
      <c r="N18" s="95" t="s">
        <v>458</v>
      </c>
      <c r="O18" s="96" t="s">
        <v>458</v>
      </c>
      <c r="P18" s="95">
        <f t="shared" si="4"/>
        <v>1.1455805892547661</v>
      </c>
      <c r="Q18" s="95">
        <f t="shared" si="5"/>
        <v>0.4303385416666667</v>
      </c>
      <c r="R18" s="96">
        <f t="shared" si="6"/>
        <v>1.481421647819063</v>
      </c>
    </row>
    <row r="19" spans="1:18" s="58" customFormat="1" ht="16.5" customHeight="1">
      <c r="A19" s="538" t="s">
        <v>147</v>
      </c>
      <c r="B19" s="240">
        <f t="shared" si="7"/>
        <v>0</v>
      </c>
      <c r="C19" s="498">
        <v>0</v>
      </c>
      <c r="D19" s="498">
        <v>0</v>
      </c>
      <c r="E19" s="498">
        <v>0</v>
      </c>
      <c r="F19" s="240">
        <f t="shared" si="8"/>
        <v>3619</v>
      </c>
      <c r="G19" s="356">
        <v>1681</v>
      </c>
      <c r="H19" s="356">
        <v>1791</v>
      </c>
      <c r="I19" s="356">
        <v>3509</v>
      </c>
      <c r="J19" s="499" t="s">
        <v>458</v>
      </c>
      <c r="K19" s="499" t="s">
        <v>458</v>
      </c>
      <c r="L19" s="499" t="s">
        <v>458</v>
      </c>
      <c r="M19" s="95" t="s">
        <v>458</v>
      </c>
      <c r="N19" s="95" t="s">
        <v>458</v>
      </c>
      <c r="O19" s="96" t="s">
        <v>458</v>
      </c>
      <c r="P19" s="95">
        <f t="shared" si="4"/>
        <v>1.065437239738251</v>
      </c>
      <c r="Q19" s="95">
        <f t="shared" si="5"/>
        <v>0.3379245283018868</v>
      </c>
      <c r="R19" s="96">
        <f t="shared" si="6"/>
        <v>2.052995391705069</v>
      </c>
    </row>
    <row r="20" spans="1:18" s="58" customFormat="1" ht="16.5" customHeight="1">
      <c r="A20" s="538" t="s">
        <v>148</v>
      </c>
      <c r="B20" s="240">
        <f t="shared" si="7"/>
        <v>0</v>
      </c>
      <c r="C20" s="498">
        <v>0</v>
      </c>
      <c r="D20" s="498">
        <v>0</v>
      </c>
      <c r="E20" s="498">
        <v>0</v>
      </c>
      <c r="F20" s="240">
        <f t="shared" si="8"/>
        <v>4031</v>
      </c>
      <c r="G20" s="356">
        <v>3122</v>
      </c>
      <c r="H20" s="356">
        <v>3458</v>
      </c>
      <c r="I20" s="356">
        <v>3695</v>
      </c>
      <c r="J20" s="499" t="s">
        <v>458</v>
      </c>
      <c r="K20" s="499" t="s">
        <v>458</v>
      </c>
      <c r="L20" s="499" t="s">
        <v>458</v>
      </c>
      <c r="M20" s="95" t="s">
        <v>458</v>
      </c>
      <c r="N20" s="95" t="s">
        <v>458</v>
      </c>
      <c r="O20" s="96" t="s">
        <v>458</v>
      </c>
      <c r="P20" s="95">
        <f t="shared" si="4"/>
        <v>1.1076233183856503</v>
      </c>
      <c r="Q20" s="95">
        <f t="shared" si="5"/>
        <v>0.4834335243953586</v>
      </c>
      <c r="R20" s="96">
        <f t="shared" si="6"/>
        <v>1.1741641337386017</v>
      </c>
    </row>
    <row r="21" spans="1:18" s="58" customFormat="1" ht="16.5" customHeight="1">
      <c r="A21" s="63" t="s">
        <v>149</v>
      </c>
      <c r="B21" s="240">
        <f t="shared" si="7"/>
        <v>2306</v>
      </c>
      <c r="C21" s="356">
        <v>69</v>
      </c>
      <c r="D21" s="356">
        <v>181</v>
      </c>
      <c r="E21" s="356">
        <v>2194</v>
      </c>
      <c r="F21" s="240">
        <f t="shared" si="8"/>
        <v>2373</v>
      </c>
      <c r="G21" s="356">
        <v>1495</v>
      </c>
      <c r="H21" s="356">
        <v>1562</v>
      </c>
      <c r="I21" s="356">
        <v>2306</v>
      </c>
      <c r="J21" s="254">
        <f t="shared" si="9"/>
        <v>20.666666666666668</v>
      </c>
      <c r="K21" s="254">
        <f t="shared" si="10"/>
        <v>7.629834254143646</v>
      </c>
      <c r="L21" s="254">
        <f t="shared" si="11"/>
        <v>0.05104831358249772</v>
      </c>
      <c r="M21" s="95">
        <f t="shared" si="1"/>
        <v>2.6231884057971016</v>
      </c>
      <c r="N21" s="95">
        <f t="shared" si="2"/>
        <v>0.07621052631578948</v>
      </c>
      <c r="O21" s="96">
        <f t="shared" si="3"/>
        <v>18</v>
      </c>
      <c r="P21" s="95">
        <f t="shared" si="4"/>
        <v>1.0448160535117057</v>
      </c>
      <c r="Q21" s="95">
        <f t="shared" si="5"/>
        <v>0.40382626680455014</v>
      </c>
      <c r="R21" s="96">
        <f t="shared" si="6"/>
        <v>1.5305855413804383</v>
      </c>
    </row>
    <row r="22" spans="1:18" s="58" customFormat="1" ht="16.5" customHeight="1" thickBot="1">
      <c r="A22" s="64" t="s">
        <v>150</v>
      </c>
      <c r="B22" s="258">
        <f t="shared" si="7"/>
        <v>71241</v>
      </c>
      <c r="C22" s="357">
        <f>C14+C15+C16+C17+C18+C19+C20+C21</f>
        <v>53215</v>
      </c>
      <c r="D22" s="357">
        <f>D14+D15+D16+D17+D18+D19+D20+D21</f>
        <v>42802</v>
      </c>
      <c r="E22" s="357">
        <f>E14+E15+E16+E17+E18+E19+E20+E21</f>
        <v>81654</v>
      </c>
      <c r="F22" s="258">
        <f t="shared" si="8"/>
        <v>76319</v>
      </c>
      <c r="G22" s="357">
        <f>G14+G15+G16+G17+G18+G19+G20+G21</f>
        <v>48526</v>
      </c>
      <c r="H22" s="357">
        <f>H14+H15+H16+H17+H18+H19+H20+H21</f>
        <v>43589</v>
      </c>
      <c r="I22" s="357">
        <f>I14+I15+I16+I17+I18+I19+I20+I21</f>
        <v>81256</v>
      </c>
      <c r="J22" s="502">
        <f t="shared" si="9"/>
        <v>-0.08811425349995303</v>
      </c>
      <c r="K22" s="502">
        <f t="shared" si="10"/>
        <v>0.018386991262090556</v>
      </c>
      <c r="L22" s="502">
        <f t="shared" si="11"/>
        <v>-0.004874225390060499</v>
      </c>
      <c r="M22" s="503">
        <f t="shared" si="1"/>
        <v>0.8043220896363807</v>
      </c>
      <c r="N22" s="503">
        <f t="shared" si="2"/>
        <v>0.3439127081056759</v>
      </c>
      <c r="O22" s="504">
        <f t="shared" si="3"/>
        <v>1.5923742670568752</v>
      </c>
      <c r="P22" s="505">
        <f t="shared" si="4"/>
        <v>0.8982607262086304</v>
      </c>
      <c r="Q22" s="505">
        <f t="shared" si="5"/>
        <v>0.34914493972525934</v>
      </c>
      <c r="R22" s="506">
        <f t="shared" si="6"/>
        <v>1.7106334473212832</v>
      </c>
    </row>
    <row r="23" spans="1:18" s="58" customFormat="1" ht="16.5" customHeight="1" thickBot="1" thickTop="1">
      <c r="A23" s="580" t="s">
        <v>466</v>
      </c>
      <c r="B23" s="360">
        <f t="shared" si="7"/>
        <v>7407</v>
      </c>
      <c r="C23" s="357">
        <v>971</v>
      </c>
      <c r="D23" s="357">
        <v>2768</v>
      </c>
      <c r="E23" s="357">
        <v>5610</v>
      </c>
      <c r="F23" s="360">
        <f t="shared" si="8"/>
        <v>6925</v>
      </c>
      <c r="G23" s="357">
        <v>5209</v>
      </c>
      <c r="H23" s="357">
        <v>4727</v>
      </c>
      <c r="I23" s="357">
        <v>7407</v>
      </c>
      <c r="J23" s="507">
        <f t="shared" si="9"/>
        <v>4.3645726055612775</v>
      </c>
      <c r="K23" s="507">
        <f t="shared" si="10"/>
        <v>0.7077312138728323</v>
      </c>
      <c r="L23" s="507">
        <f t="shared" si="11"/>
        <v>0.32032085561497325</v>
      </c>
      <c r="M23" s="508">
        <f t="shared" si="1"/>
        <v>2.850669412976313</v>
      </c>
      <c r="N23" s="508">
        <f t="shared" si="2"/>
        <v>0.33038911434709956</v>
      </c>
      <c r="O23" s="509">
        <f t="shared" si="3"/>
        <v>3.481412142284033</v>
      </c>
      <c r="P23" s="508">
        <f t="shared" si="4"/>
        <v>0.9074678441159532</v>
      </c>
      <c r="Q23" s="508">
        <f t="shared" si="5"/>
        <v>0.38956650733476184</v>
      </c>
      <c r="R23" s="509">
        <f t="shared" si="6"/>
        <v>1.4424315619967794</v>
      </c>
    </row>
    <row r="24" spans="1:18" s="58" customFormat="1" ht="16.5" customHeight="1" thickTop="1">
      <c r="A24" s="66" t="s">
        <v>152</v>
      </c>
      <c r="B24" s="240">
        <f t="shared" si="7"/>
        <v>13248</v>
      </c>
      <c r="C24" s="356">
        <v>15772</v>
      </c>
      <c r="D24" s="356">
        <v>11980</v>
      </c>
      <c r="E24" s="356">
        <v>17040</v>
      </c>
      <c r="F24" s="240">
        <f t="shared" si="8"/>
        <v>12647</v>
      </c>
      <c r="G24" s="356">
        <v>9134</v>
      </c>
      <c r="H24" s="356">
        <v>8533</v>
      </c>
      <c r="I24" s="356">
        <v>13248</v>
      </c>
      <c r="J24" s="254">
        <f t="shared" si="9"/>
        <v>-0.42087243215825515</v>
      </c>
      <c r="K24" s="254">
        <f t="shared" si="10"/>
        <v>-0.28772954924874794</v>
      </c>
      <c r="L24" s="254">
        <f t="shared" si="11"/>
        <v>-0.22253521126760564</v>
      </c>
      <c r="M24" s="500">
        <f t="shared" si="1"/>
        <v>0.7595739284808521</v>
      </c>
      <c r="N24" s="500">
        <f t="shared" si="2"/>
        <v>0.4128187456926258</v>
      </c>
      <c r="O24" s="501">
        <f t="shared" si="3"/>
        <v>1.091380801383684</v>
      </c>
      <c r="P24" s="500">
        <f t="shared" si="4"/>
        <v>0.9342018830742281</v>
      </c>
      <c r="Q24" s="500">
        <f t="shared" si="5"/>
        <v>0.3917634635691658</v>
      </c>
      <c r="R24" s="501">
        <f t="shared" si="6"/>
        <v>1.4657270617535518</v>
      </c>
    </row>
    <row r="25" spans="1:18" s="58" customFormat="1" ht="16.5" customHeight="1">
      <c r="A25" s="63" t="s">
        <v>153</v>
      </c>
      <c r="B25" s="240">
        <f t="shared" si="7"/>
        <v>2056</v>
      </c>
      <c r="C25" s="358">
        <v>326</v>
      </c>
      <c r="D25" s="358">
        <v>2382</v>
      </c>
      <c r="E25" s="358">
        <v>0</v>
      </c>
      <c r="F25" s="240">
        <f t="shared" si="8"/>
        <v>1882</v>
      </c>
      <c r="G25" s="358">
        <v>1820</v>
      </c>
      <c r="H25" s="358">
        <v>1646</v>
      </c>
      <c r="I25" s="358">
        <v>2056</v>
      </c>
      <c r="J25" s="254">
        <f t="shared" si="9"/>
        <v>4.58282208588957</v>
      </c>
      <c r="K25" s="254">
        <f t="shared" si="10"/>
        <v>-0.3089840470193115</v>
      </c>
      <c r="L25" s="499" t="s">
        <v>458</v>
      </c>
      <c r="M25" s="95">
        <f t="shared" si="1"/>
        <v>7.306748466257669</v>
      </c>
      <c r="N25" s="95">
        <f t="shared" si="2"/>
        <v>1</v>
      </c>
      <c r="O25" s="96">
        <f t="shared" si="3"/>
        <v>0.7592319054652881</v>
      </c>
      <c r="P25" s="95">
        <f t="shared" si="4"/>
        <v>0.9043956043956044</v>
      </c>
      <c r="Q25" s="95">
        <f t="shared" si="5"/>
        <v>0.44462452728255</v>
      </c>
      <c r="R25" s="96">
        <f t="shared" si="6"/>
        <v>1.1361800346220428</v>
      </c>
    </row>
    <row r="26" spans="1:18" s="58" customFormat="1" ht="16.5" customHeight="1" thickBot="1">
      <c r="A26" s="64" t="s">
        <v>154</v>
      </c>
      <c r="B26" s="258">
        <f t="shared" si="7"/>
        <v>15304</v>
      </c>
      <c r="C26" s="357">
        <f>C24+C25</f>
        <v>16098</v>
      </c>
      <c r="D26" s="357">
        <f>D24+D25</f>
        <v>14362</v>
      </c>
      <c r="E26" s="357">
        <f>E24+E25</f>
        <v>17040</v>
      </c>
      <c r="F26" s="258">
        <f t="shared" si="8"/>
        <v>14529</v>
      </c>
      <c r="G26" s="357">
        <f>G24+G25</f>
        <v>10954</v>
      </c>
      <c r="H26" s="357">
        <f>H24+H25</f>
        <v>10179</v>
      </c>
      <c r="I26" s="357">
        <f>I24+I25</f>
        <v>15304</v>
      </c>
      <c r="J26" s="502">
        <f t="shared" si="9"/>
        <v>-0.3195428003478693</v>
      </c>
      <c r="K26" s="502">
        <f t="shared" si="10"/>
        <v>-0.29125469990252056</v>
      </c>
      <c r="L26" s="502">
        <f t="shared" si="11"/>
        <v>-0.10187793427230046</v>
      </c>
      <c r="M26" s="503">
        <f t="shared" si="1"/>
        <v>0.8921605168343893</v>
      </c>
      <c r="N26" s="503">
        <f t="shared" si="2"/>
        <v>0.45735940385962676</v>
      </c>
      <c r="O26" s="504">
        <f t="shared" si="3"/>
        <v>1.0618516086671044</v>
      </c>
      <c r="P26" s="505">
        <f t="shared" si="4"/>
        <v>0.9292495891911631</v>
      </c>
      <c r="Q26" s="505">
        <f t="shared" si="5"/>
        <v>0.3994427657654122</v>
      </c>
      <c r="R26" s="506">
        <f t="shared" si="6"/>
        <v>1.4116784176406567</v>
      </c>
    </row>
    <row r="27" spans="1:18" s="58" customFormat="1" ht="16.5" customHeight="1" thickTop="1">
      <c r="A27" s="66" t="s">
        <v>155</v>
      </c>
      <c r="B27" s="240">
        <f t="shared" si="7"/>
        <v>21393</v>
      </c>
      <c r="C27" s="359">
        <v>25381</v>
      </c>
      <c r="D27" s="359">
        <v>17986</v>
      </c>
      <c r="E27" s="359">
        <v>28788</v>
      </c>
      <c r="F27" s="240">
        <f t="shared" si="8"/>
        <v>22407</v>
      </c>
      <c r="G27" s="359">
        <v>13404</v>
      </c>
      <c r="H27" s="359">
        <v>14418</v>
      </c>
      <c r="I27" s="359">
        <v>21393</v>
      </c>
      <c r="J27" s="254">
        <f t="shared" si="9"/>
        <v>-0.47188842047200663</v>
      </c>
      <c r="K27" s="254">
        <f t="shared" si="10"/>
        <v>-0.19837651506727455</v>
      </c>
      <c r="L27" s="254">
        <f t="shared" si="11"/>
        <v>-0.25687786577740723</v>
      </c>
      <c r="M27" s="500">
        <f t="shared" si="1"/>
        <v>0.7086403215003348</v>
      </c>
      <c r="N27" s="500">
        <f t="shared" si="2"/>
        <v>0.3845298670201394</v>
      </c>
      <c r="O27" s="501">
        <f t="shared" si="3"/>
        <v>1.157124080522056</v>
      </c>
      <c r="P27" s="500">
        <f t="shared" si="4"/>
        <v>1.075649059982095</v>
      </c>
      <c r="Q27" s="500">
        <f t="shared" si="5"/>
        <v>0.4026137220407138</v>
      </c>
      <c r="R27" s="501">
        <f t="shared" si="6"/>
        <v>1.57429372439077</v>
      </c>
    </row>
    <row r="28" spans="1:18" s="58" customFormat="1" ht="16.5" customHeight="1">
      <c r="A28" s="63" t="s">
        <v>156</v>
      </c>
      <c r="B28" s="240">
        <f t="shared" si="7"/>
        <v>2119</v>
      </c>
      <c r="C28" s="356">
        <v>128</v>
      </c>
      <c r="D28" s="356">
        <v>1979</v>
      </c>
      <c r="E28" s="356">
        <v>268</v>
      </c>
      <c r="F28" s="240">
        <f t="shared" si="8"/>
        <v>2094</v>
      </c>
      <c r="G28" s="356">
        <v>1537</v>
      </c>
      <c r="H28" s="356">
        <v>1512</v>
      </c>
      <c r="I28" s="356">
        <v>2119</v>
      </c>
      <c r="J28" s="254">
        <f t="shared" si="9"/>
        <v>11.0078125</v>
      </c>
      <c r="K28" s="254">
        <f t="shared" si="10"/>
        <v>-0.235977766548762</v>
      </c>
      <c r="L28" s="254">
        <f t="shared" si="11"/>
        <v>6.906716417910448</v>
      </c>
      <c r="M28" s="95">
        <f t="shared" si="1"/>
        <v>15.4609375</v>
      </c>
      <c r="N28" s="95">
        <f t="shared" si="2"/>
        <v>0.8807298620382733</v>
      </c>
      <c r="O28" s="96">
        <f t="shared" si="3"/>
        <v>1.132890365448505</v>
      </c>
      <c r="P28" s="95">
        <f t="shared" si="4"/>
        <v>0.9837345478204295</v>
      </c>
      <c r="Q28" s="95">
        <f t="shared" si="5"/>
        <v>0.4164142109611677</v>
      </c>
      <c r="R28" s="96">
        <f t="shared" si="6"/>
        <v>1.3817645129550673</v>
      </c>
    </row>
    <row r="29" spans="1:18" s="262" customFormat="1" ht="16.5" customHeight="1">
      <c r="A29" s="219" t="s">
        <v>157</v>
      </c>
      <c r="B29" s="644">
        <f t="shared" si="7"/>
        <v>2822</v>
      </c>
      <c r="C29" s="356">
        <v>277</v>
      </c>
      <c r="D29" s="356">
        <v>2602</v>
      </c>
      <c r="E29" s="356">
        <v>497</v>
      </c>
      <c r="F29" s="644">
        <f t="shared" si="8"/>
        <v>3641</v>
      </c>
      <c r="G29" s="356">
        <v>2141</v>
      </c>
      <c r="H29" s="356">
        <v>2960</v>
      </c>
      <c r="I29" s="356">
        <v>2822</v>
      </c>
      <c r="J29" s="254">
        <f t="shared" si="9"/>
        <v>6.729241877256317</v>
      </c>
      <c r="K29" s="254">
        <f t="shared" si="10"/>
        <v>0.13758647194465795</v>
      </c>
      <c r="L29" s="254">
        <f t="shared" si="11"/>
        <v>4.678068410462776</v>
      </c>
      <c r="M29" s="533">
        <f t="shared" si="1"/>
        <v>9.393501805054152</v>
      </c>
      <c r="N29" s="533">
        <f>IF(D29&gt;0,D29/(B29+C29)," ")</f>
        <v>0.8396256857050661</v>
      </c>
      <c r="O29" s="534">
        <f t="shared" si="3"/>
        <v>1.1528308440430706</v>
      </c>
      <c r="P29" s="533">
        <f t="shared" si="4"/>
        <v>1.3825315273236805</v>
      </c>
      <c r="Q29" s="533">
        <f>IF(H29&gt;0,H29/(F29+G29)," ")</f>
        <v>0.5119335869941197</v>
      </c>
      <c r="R29" s="534">
        <f t="shared" si="6"/>
        <v>1.2670064693197411</v>
      </c>
    </row>
    <row r="30" spans="1:18" s="90" customFormat="1" ht="16.5" customHeight="1">
      <c r="A30" s="219" t="s">
        <v>158</v>
      </c>
      <c r="B30" s="240">
        <f t="shared" si="7"/>
        <v>2572</v>
      </c>
      <c r="C30" s="356">
        <v>112</v>
      </c>
      <c r="D30" s="356">
        <v>2354</v>
      </c>
      <c r="E30" s="356">
        <v>330</v>
      </c>
      <c r="F30" s="240">
        <f t="shared" si="8"/>
        <v>3316</v>
      </c>
      <c r="G30" s="356">
        <v>940</v>
      </c>
      <c r="H30" s="356">
        <v>1684</v>
      </c>
      <c r="I30" s="356">
        <v>2572</v>
      </c>
      <c r="J30" s="254">
        <f t="shared" si="9"/>
        <v>7.392857142857143</v>
      </c>
      <c r="K30" s="254">
        <f t="shared" si="10"/>
        <v>-0.28462192013593884</v>
      </c>
      <c r="L30" s="254">
        <f t="shared" si="11"/>
        <v>6.793939393939394</v>
      </c>
      <c r="M30" s="95">
        <f>IF(C30&gt;0,D30/C30," ")</f>
        <v>21.017857142857142</v>
      </c>
      <c r="N30" s="95">
        <f>IF(D30&gt;0,D30/(B30+C30)," ")</f>
        <v>0.8770491803278688</v>
      </c>
      <c r="O30" s="96">
        <f>IF((C30+D30)&gt;0,(B30+E30)/(C30+D30)," ")</f>
        <v>1.1768045417680455</v>
      </c>
      <c r="P30" s="95">
        <f>IF(G30&gt;0,H30/G30," ")</f>
        <v>1.7914893617021277</v>
      </c>
      <c r="Q30" s="95">
        <f>IF(H30&gt;0,H30/(F30+G30)," ")</f>
        <v>0.3956766917293233</v>
      </c>
      <c r="R30" s="96">
        <f>IF((G30+H30)&gt;0,(F30+I30)/(G30+H30)," ")</f>
        <v>2.2439024390243905</v>
      </c>
    </row>
    <row r="31" spans="1:18" s="58" customFormat="1" ht="16.5" customHeight="1" thickBot="1">
      <c r="A31" s="64" t="s">
        <v>159</v>
      </c>
      <c r="B31" s="258">
        <f t="shared" si="7"/>
        <v>28906</v>
      </c>
      <c r="C31" s="357">
        <f>C27+C28+C29+C30</f>
        <v>25898</v>
      </c>
      <c r="D31" s="357">
        <f>D27+D28+D29+D30</f>
        <v>24921</v>
      </c>
      <c r="E31" s="357">
        <f>E27+E28+E29+E30</f>
        <v>29883</v>
      </c>
      <c r="F31" s="258">
        <f t="shared" si="8"/>
        <v>31458</v>
      </c>
      <c r="G31" s="357">
        <f>G27+G28+G29+G30</f>
        <v>18022</v>
      </c>
      <c r="H31" s="357">
        <f>H27+H28+H29+H30</f>
        <v>20574</v>
      </c>
      <c r="I31" s="357">
        <f>I27+I28+I29+I30</f>
        <v>28906</v>
      </c>
      <c r="J31" s="502">
        <f t="shared" si="9"/>
        <v>-0.30411614796509384</v>
      </c>
      <c r="K31" s="502">
        <f t="shared" si="10"/>
        <v>-0.1744312026002167</v>
      </c>
      <c r="L31" s="502">
        <f t="shared" si="11"/>
        <v>-0.03269417394505237</v>
      </c>
      <c r="M31" s="505">
        <f>IF(C31&gt;0,D31/C31," ")</f>
        <v>0.9622750791566916</v>
      </c>
      <c r="N31" s="505">
        <f>IF(D31&gt;0,D31/(B31+C31)," ")</f>
        <v>0.4547295817823517</v>
      </c>
      <c r="O31" s="506">
        <f>IF((C31+D31)&gt;0,(B31+E31)/(C31+D31)," ")</f>
        <v>1.1568311064759245</v>
      </c>
      <c r="P31" s="505">
        <f>IF(G31&gt;0,H31/G31," ")</f>
        <v>1.1416047053601155</v>
      </c>
      <c r="Q31" s="505">
        <f>IF(H31&gt;0,H31/(F31+G31)," ")</f>
        <v>0.4158043654001617</v>
      </c>
      <c r="R31" s="506">
        <f>IF((G31+H31)&gt;0,(F31+I31)/(G31+H31)," ")</f>
        <v>1.5639962690434241</v>
      </c>
    </row>
    <row r="32" spans="1:18" s="168" customFormat="1" ht="12.75" thickTop="1">
      <c r="A32" s="167" t="s">
        <v>246</v>
      </c>
      <c r="B32" s="260">
        <f t="shared" si="7"/>
        <v>133581</v>
      </c>
      <c r="C32" s="220">
        <f>SUM(C13,C22,C23,C26,C31)</f>
        <v>103754</v>
      </c>
      <c r="D32" s="220">
        <f>SUM(D13,D22,D23,D26,D31)</f>
        <v>91061</v>
      </c>
      <c r="E32" s="220">
        <f>SUM(E13,E22,E23,E26,E31)</f>
        <v>146274</v>
      </c>
      <c r="F32" s="260">
        <f t="shared" si="8"/>
        <v>139805</v>
      </c>
      <c r="G32" s="220">
        <f>SUM(G13,G22,G23,G26,G31)</f>
        <v>89019</v>
      </c>
      <c r="H32" s="220">
        <f>SUM(H13,H22,H23,H26,H31)</f>
        <v>85228</v>
      </c>
      <c r="I32" s="220">
        <f>SUM(I13,I22,I23,I26,I31)</f>
        <v>143596</v>
      </c>
      <c r="J32" s="254">
        <f t="shared" si="9"/>
        <v>-0.1420186209688301</v>
      </c>
      <c r="K32" s="254">
        <f t="shared" si="10"/>
        <v>-0.06405596248668476</v>
      </c>
      <c r="L32" s="254">
        <f t="shared" si="11"/>
        <v>-0.018308106703857144</v>
      </c>
      <c r="M32" s="510">
        <f t="shared" si="1"/>
        <v>0.8776625479499586</v>
      </c>
      <c r="N32" s="510">
        <f t="shared" si="2"/>
        <v>0.3836812943729328</v>
      </c>
      <c r="O32" s="511">
        <f t="shared" si="3"/>
        <v>1.4365166953263353</v>
      </c>
      <c r="P32" s="510">
        <f t="shared" si="4"/>
        <v>0.9574135858636921</v>
      </c>
      <c r="Q32" s="510">
        <f t="shared" si="5"/>
        <v>0.37246093067160785</v>
      </c>
      <c r="R32" s="511">
        <f t="shared" si="6"/>
        <v>1.6264325928136496</v>
      </c>
    </row>
    <row r="33" spans="1:18" s="89" customFormat="1" ht="16.5" customHeight="1">
      <c r="A33" s="733" t="s">
        <v>477</v>
      </c>
      <c r="B33" s="734"/>
      <c r="C33" s="734"/>
      <c r="D33" s="734"/>
      <c r="E33" s="734"/>
      <c r="F33" s="734"/>
      <c r="G33" s="734"/>
      <c r="H33" s="84"/>
      <c r="I33" s="85"/>
      <c r="J33" s="86"/>
      <c r="K33" s="86"/>
      <c r="L33" s="86"/>
      <c r="M33" s="87"/>
      <c r="N33" s="87"/>
      <c r="O33" s="88"/>
      <c r="P33" s="87"/>
      <c r="Q33" s="87"/>
      <c r="R33" s="88"/>
    </row>
    <row r="34" spans="1:18" s="89" customFormat="1" ht="16.5" customHeight="1">
      <c r="A34" s="536" t="s">
        <v>478</v>
      </c>
      <c r="B34" s="645"/>
      <c r="C34" s="645"/>
      <c r="D34" s="645"/>
      <c r="E34" s="645"/>
      <c r="F34" s="645"/>
      <c r="G34" s="645"/>
      <c r="H34" s="84"/>
      <c r="I34" s="85"/>
      <c r="J34" s="86"/>
      <c r="K34" s="86"/>
      <c r="L34" s="86"/>
      <c r="M34" s="87"/>
      <c r="N34" s="87"/>
      <c r="O34" s="88"/>
      <c r="P34" s="87"/>
      <c r="Q34" s="87"/>
      <c r="R34" s="88"/>
    </row>
    <row r="35" spans="1:18" s="58" customFormat="1" ht="27.75" customHeight="1">
      <c r="A35" s="725" t="s">
        <v>366</v>
      </c>
      <c r="B35" s="726"/>
      <c r="C35" s="726"/>
      <c r="D35" s="726"/>
      <c r="E35" s="726"/>
      <c r="F35" s="726"/>
      <c r="G35" s="726"/>
      <c r="H35" s="726"/>
      <c r="I35" s="726"/>
      <c r="J35" s="726"/>
      <c r="K35" s="726"/>
      <c r="L35" s="726"/>
      <c r="M35" s="726"/>
      <c r="N35" s="726"/>
      <c r="O35" s="726"/>
      <c r="P35" s="726"/>
      <c r="Q35" s="726"/>
      <c r="R35" s="727"/>
    </row>
    <row r="36" spans="1:18" s="58" customFormat="1" ht="36.75" customHeight="1">
      <c r="A36" s="723" t="s">
        <v>37</v>
      </c>
      <c r="B36" s="732" t="s">
        <v>365</v>
      </c>
      <c r="C36" s="721"/>
      <c r="D36" s="721"/>
      <c r="E36" s="722"/>
      <c r="F36" s="721" t="s">
        <v>298</v>
      </c>
      <c r="G36" s="721"/>
      <c r="H36" s="721"/>
      <c r="I36" s="722"/>
      <c r="J36" s="737" t="s">
        <v>368</v>
      </c>
      <c r="K36" s="730"/>
      <c r="L36" s="731"/>
      <c r="M36" s="718" t="s">
        <v>365</v>
      </c>
      <c r="N36" s="719"/>
      <c r="O36" s="720"/>
      <c r="P36" s="728" t="s">
        <v>298</v>
      </c>
      <c r="Q36" s="719"/>
      <c r="R36" s="720"/>
    </row>
    <row r="37" spans="1:18" s="58" customFormat="1" ht="21.75" customHeight="1">
      <c r="A37" s="724"/>
      <c r="B37" s="77" t="s">
        <v>222</v>
      </c>
      <c r="C37" s="78" t="s">
        <v>1</v>
      </c>
      <c r="D37" s="79" t="s">
        <v>2</v>
      </c>
      <c r="E37" s="79" t="s">
        <v>3</v>
      </c>
      <c r="F37" s="77" t="s">
        <v>222</v>
      </c>
      <c r="G37" s="78" t="s">
        <v>1</v>
      </c>
      <c r="H37" s="79" t="s">
        <v>2</v>
      </c>
      <c r="I37" s="79" t="s">
        <v>3</v>
      </c>
      <c r="J37" s="79" t="s">
        <v>1</v>
      </c>
      <c r="K37" s="79" t="s">
        <v>2</v>
      </c>
      <c r="L37" s="79" t="s">
        <v>3</v>
      </c>
      <c r="M37" s="94" t="s">
        <v>223</v>
      </c>
      <c r="N37" s="94" t="s">
        <v>224</v>
      </c>
      <c r="O37" s="94" t="s">
        <v>225</v>
      </c>
      <c r="P37" s="94" t="s">
        <v>223</v>
      </c>
      <c r="Q37" s="94" t="s">
        <v>224</v>
      </c>
      <c r="R37" s="94" t="s">
        <v>225</v>
      </c>
    </row>
    <row r="38" spans="1:18" s="58" customFormat="1" ht="16.5" customHeight="1">
      <c r="A38" s="63" t="s">
        <v>161</v>
      </c>
      <c r="B38" s="81">
        <f>E38-C38+D38</f>
        <v>251</v>
      </c>
      <c r="C38" s="358">
        <v>857</v>
      </c>
      <c r="D38" s="358">
        <v>828</v>
      </c>
      <c r="E38" s="358">
        <v>280</v>
      </c>
      <c r="F38" s="81">
        <f>I38-G38+H38</f>
        <v>443</v>
      </c>
      <c r="G38" s="358">
        <v>819</v>
      </c>
      <c r="H38" s="358">
        <v>1011</v>
      </c>
      <c r="I38" s="358">
        <v>251</v>
      </c>
      <c r="J38" s="70">
        <f aca="true" t="shared" si="12" ref="J38:L40">(G38-C38)/C38</f>
        <v>-0.044340723453908985</v>
      </c>
      <c r="K38" s="71">
        <f t="shared" si="12"/>
        <v>0.2210144927536232</v>
      </c>
      <c r="L38" s="71">
        <f t="shared" si="12"/>
        <v>-0.10357142857142858</v>
      </c>
      <c r="M38" s="95">
        <f aca="true" t="shared" si="13" ref="M38:M77">IF(C38&gt;0,D38/C38," ")</f>
        <v>0.9661610268378062</v>
      </c>
      <c r="N38" s="95">
        <f aca="true" t="shared" si="14" ref="N38:N77">IF(D38&gt;0,D38/(B38+C38)," ")</f>
        <v>0.7472924187725631</v>
      </c>
      <c r="O38" s="96">
        <f aca="true" t="shared" si="15" ref="O38:O77">IF((C38+D38)&gt;0,(B38+E38)/(C38+D38)," ")</f>
        <v>0.31513353115727005</v>
      </c>
      <c r="P38" s="95">
        <f aca="true" t="shared" si="16" ref="P38:P77">IF(G38&gt;0,H38/G38," ")</f>
        <v>1.2344322344322345</v>
      </c>
      <c r="Q38" s="95">
        <f aca="true" t="shared" si="17" ref="Q38:Q77">IF(H38&gt;0,H38/(F38+G38)," ")</f>
        <v>0.8011093502377179</v>
      </c>
      <c r="R38" s="96">
        <f aca="true" t="shared" si="18" ref="R38:R77">IF((G38+H38)&gt;0,(F38+I38)/(G38+H38)," ")</f>
        <v>0.37923497267759565</v>
      </c>
    </row>
    <row r="39" spans="1:18" s="58" customFormat="1" ht="16.5" customHeight="1">
      <c r="A39" s="63" t="s">
        <v>162</v>
      </c>
      <c r="B39" s="81">
        <f aca="true" t="shared" si="19" ref="B39:B77">E39-C39+D39</f>
        <v>97</v>
      </c>
      <c r="C39" s="358">
        <v>100</v>
      </c>
      <c r="D39" s="358">
        <v>142</v>
      </c>
      <c r="E39" s="358">
        <v>55</v>
      </c>
      <c r="F39" s="81">
        <f aca="true" t="shared" si="20" ref="F39:F77">I39-G39+H39</f>
        <v>112</v>
      </c>
      <c r="G39" s="358">
        <v>174</v>
      </c>
      <c r="H39" s="358">
        <v>189</v>
      </c>
      <c r="I39" s="358">
        <v>97</v>
      </c>
      <c r="J39" s="70">
        <f t="shared" si="12"/>
        <v>0.74</v>
      </c>
      <c r="K39" s="71">
        <f t="shared" si="12"/>
        <v>0.33098591549295775</v>
      </c>
      <c r="L39" s="71">
        <f t="shared" si="12"/>
        <v>0.7636363636363637</v>
      </c>
      <c r="M39" s="95">
        <f t="shared" si="13"/>
        <v>1.42</v>
      </c>
      <c r="N39" s="95">
        <f t="shared" si="14"/>
        <v>0.7208121827411168</v>
      </c>
      <c r="O39" s="96">
        <f t="shared" si="15"/>
        <v>0.628099173553719</v>
      </c>
      <c r="P39" s="95">
        <f t="shared" si="16"/>
        <v>1.0862068965517242</v>
      </c>
      <c r="Q39" s="95">
        <f t="shared" si="17"/>
        <v>0.6608391608391608</v>
      </c>
      <c r="R39" s="96">
        <f t="shared" si="18"/>
        <v>0.5757575757575758</v>
      </c>
    </row>
    <row r="40" spans="1:18" s="58" customFormat="1" ht="16.5" customHeight="1">
      <c r="A40" s="63" t="s">
        <v>163</v>
      </c>
      <c r="B40" s="81">
        <f t="shared" si="19"/>
        <v>126</v>
      </c>
      <c r="C40" s="356">
        <v>36</v>
      </c>
      <c r="D40" s="356">
        <v>40</v>
      </c>
      <c r="E40" s="356">
        <v>122</v>
      </c>
      <c r="F40" s="81">
        <f t="shared" si="20"/>
        <v>157</v>
      </c>
      <c r="G40" s="356">
        <v>191</v>
      </c>
      <c r="H40" s="356">
        <v>222</v>
      </c>
      <c r="I40" s="356">
        <v>126</v>
      </c>
      <c r="J40" s="70">
        <f t="shared" si="12"/>
        <v>4.305555555555555</v>
      </c>
      <c r="K40" s="71">
        <f t="shared" si="12"/>
        <v>4.55</v>
      </c>
      <c r="L40" s="71">
        <f t="shared" si="12"/>
        <v>0.03278688524590164</v>
      </c>
      <c r="M40" s="95">
        <f>IF(C40&gt;0,D40/C40," ")</f>
        <v>1.1111111111111112</v>
      </c>
      <c r="N40" s="95">
        <f t="shared" si="14"/>
        <v>0.24691358024691357</v>
      </c>
      <c r="O40" s="96">
        <f t="shared" si="15"/>
        <v>3.263157894736842</v>
      </c>
      <c r="P40" s="95">
        <f t="shared" si="16"/>
        <v>1.162303664921466</v>
      </c>
      <c r="Q40" s="95">
        <f t="shared" si="17"/>
        <v>0.6379310344827587</v>
      </c>
      <c r="R40" s="96">
        <f t="shared" si="18"/>
        <v>0.6852300242130751</v>
      </c>
    </row>
    <row r="41" spans="1:18" s="262" customFormat="1" ht="16.5" customHeight="1">
      <c r="A41" s="538" t="s">
        <v>164</v>
      </c>
      <c r="B41" s="647" t="s">
        <v>458</v>
      </c>
      <c r="C41" s="497" t="s">
        <v>458</v>
      </c>
      <c r="D41" s="497" t="s">
        <v>458</v>
      </c>
      <c r="E41" s="497" t="s">
        <v>458</v>
      </c>
      <c r="F41" s="647" t="s">
        <v>458</v>
      </c>
      <c r="G41" s="497" t="s">
        <v>458</v>
      </c>
      <c r="H41" s="497" t="s">
        <v>458</v>
      </c>
      <c r="I41" s="497" t="s">
        <v>458</v>
      </c>
      <c r="J41" s="650" t="s">
        <v>458</v>
      </c>
      <c r="K41" s="521" t="s">
        <v>458</v>
      </c>
      <c r="L41" s="521" t="s">
        <v>458</v>
      </c>
      <c r="M41" s="522" t="s">
        <v>458</v>
      </c>
      <c r="N41" s="522" t="s">
        <v>458</v>
      </c>
      <c r="O41" s="524" t="s">
        <v>458</v>
      </c>
      <c r="P41" s="522" t="s">
        <v>458</v>
      </c>
      <c r="Q41" s="522" t="s">
        <v>458</v>
      </c>
      <c r="R41" s="524" t="s">
        <v>458</v>
      </c>
    </row>
    <row r="42" spans="1:18" s="58" customFormat="1" ht="16.5" customHeight="1">
      <c r="A42" s="63" t="s">
        <v>165</v>
      </c>
      <c r="B42" s="81">
        <f t="shared" si="19"/>
        <v>477</v>
      </c>
      <c r="C42" s="356">
        <v>54</v>
      </c>
      <c r="D42" s="356">
        <v>96</v>
      </c>
      <c r="E42" s="356">
        <v>435</v>
      </c>
      <c r="F42" s="81">
        <f t="shared" si="20"/>
        <v>491</v>
      </c>
      <c r="G42" s="356">
        <v>420</v>
      </c>
      <c r="H42" s="356">
        <v>434</v>
      </c>
      <c r="I42" s="356">
        <v>477</v>
      </c>
      <c r="J42" s="70">
        <f aca="true" t="shared" si="21" ref="J42:J50">(G42-C42)/C42</f>
        <v>6.777777777777778</v>
      </c>
      <c r="K42" s="71">
        <f aca="true" t="shared" si="22" ref="K42:K50">(H42-D42)/D42</f>
        <v>3.5208333333333335</v>
      </c>
      <c r="L42" s="71">
        <f aca="true" t="shared" si="23" ref="L42:L50">(I42-E42)/E42</f>
        <v>0.09655172413793103</v>
      </c>
      <c r="M42" s="95">
        <f t="shared" si="13"/>
        <v>1.7777777777777777</v>
      </c>
      <c r="N42" s="95">
        <f t="shared" si="14"/>
        <v>0.1807909604519774</v>
      </c>
      <c r="O42" s="96">
        <f t="shared" si="15"/>
        <v>6.08</v>
      </c>
      <c r="P42" s="95">
        <f t="shared" si="16"/>
        <v>1.0333333333333334</v>
      </c>
      <c r="Q42" s="95">
        <f t="shared" si="17"/>
        <v>0.47639956092206365</v>
      </c>
      <c r="R42" s="96">
        <f t="shared" si="18"/>
        <v>1.1334894613583137</v>
      </c>
    </row>
    <row r="43" spans="1:18" s="58" customFormat="1" ht="16.5" customHeight="1">
      <c r="A43" s="63" t="s">
        <v>166</v>
      </c>
      <c r="B43" s="81">
        <f t="shared" si="19"/>
        <v>76</v>
      </c>
      <c r="C43" s="358">
        <v>37</v>
      </c>
      <c r="D43" s="358">
        <v>90</v>
      </c>
      <c r="E43" s="358">
        <v>23</v>
      </c>
      <c r="F43" s="81">
        <f t="shared" si="20"/>
        <v>145</v>
      </c>
      <c r="G43" s="358">
        <v>183</v>
      </c>
      <c r="H43" s="358">
        <v>252</v>
      </c>
      <c r="I43" s="358">
        <v>76</v>
      </c>
      <c r="J43" s="70">
        <f t="shared" si="21"/>
        <v>3.945945945945946</v>
      </c>
      <c r="K43" s="71">
        <f t="shared" si="22"/>
        <v>1.8</v>
      </c>
      <c r="L43" s="71">
        <f t="shared" si="23"/>
        <v>2.3043478260869565</v>
      </c>
      <c r="M43" s="95">
        <f t="shared" si="13"/>
        <v>2.4324324324324325</v>
      </c>
      <c r="N43" s="95">
        <f t="shared" si="14"/>
        <v>0.7964601769911505</v>
      </c>
      <c r="O43" s="96">
        <f t="shared" si="15"/>
        <v>0.7795275590551181</v>
      </c>
      <c r="P43" s="95">
        <f t="shared" si="16"/>
        <v>1.3770491803278688</v>
      </c>
      <c r="Q43" s="95">
        <f t="shared" si="17"/>
        <v>0.7682926829268293</v>
      </c>
      <c r="R43" s="96">
        <f t="shared" si="18"/>
        <v>0.5080459770114942</v>
      </c>
    </row>
    <row r="44" spans="1:18" s="58" customFormat="1" ht="16.5" customHeight="1" thickBot="1">
      <c r="A44" s="64" t="s">
        <v>160</v>
      </c>
      <c r="B44" s="646">
        <f t="shared" si="19"/>
        <v>1027</v>
      </c>
      <c r="C44" s="357">
        <f>SUM(C38:C43)</f>
        <v>1084</v>
      </c>
      <c r="D44" s="357">
        <f>SUM(D38:D43)</f>
        <v>1196</v>
      </c>
      <c r="E44" s="357">
        <f>SUM(E38:E43)</f>
        <v>915</v>
      </c>
      <c r="F44" s="646">
        <f t="shared" si="20"/>
        <v>1348</v>
      </c>
      <c r="G44" s="357">
        <f>SUM(G38:G43)</f>
        <v>1787</v>
      </c>
      <c r="H44" s="357">
        <f>SUM(H38:H43)</f>
        <v>2108</v>
      </c>
      <c r="I44" s="357">
        <f>SUM(I38:I43)</f>
        <v>1027</v>
      </c>
      <c r="J44" s="517">
        <f t="shared" si="21"/>
        <v>0.6485239852398524</v>
      </c>
      <c r="K44" s="517">
        <f t="shared" si="22"/>
        <v>0.7625418060200669</v>
      </c>
      <c r="L44" s="517">
        <f t="shared" si="23"/>
        <v>0.12240437158469945</v>
      </c>
      <c r="M44" s="95">
        <f t="shared" si="13"/>
        <v>1.103321033210332</v>
      </c>
      <c r="N44" s="95">
        <f t="shared" si="14"/>
        <v>0.5665561345333965</v>
      </c>
      <c r="O44" s="96">
        <f t="shared" si="15"/>
        <v>0.8517543859649123</v>
      </c>
      <c r="P44" s="95">
        <f t="shared" si="16"/>
        <v>1.1796306659205371</v>
      </c>
      <c r="Q44" s="95">
        <f t="shared" si="17"/>
        <v>0.672408293460925</v>
      </c>
      <c r="R44" s="96">
        <f t="shared" si="18"/>
        <v>0.6097560975609756</v>
      </c>
    </row>
    <row r="45" spans="1:18" s="58" customFormat="1" ht="16.5" customHeight="1" thickTop="1">
      <c r="A45" s="63" t="s">
        <v>169</v>
      </c>
      <c r="B45" s="328">
        <f t="shared" si="19"/>
        <v>939</v>
      </c>
      <c r="C45" s="363">
        <v>1890</v>
      </c>
      <c r="D45" s="363">
        <v>1872</v>
      </c>
      <c r="E45" s="363">
        <v>957</v>
      </c>
      <c r="F45" s="328">
        <f t="shared" si="20"/>
        <v>969</v>
      </c>
      <c r="G45" s="363">
        <v>1699</v>
      </c>
      <c r="H45" s="363">
        <v>1729</v>
      </c>
      <c r="I45" s="363">
        <v>939</v>
      </c>
      <c r="J45" s="329">
        <f t="shared" si="21"/>
        <v>-0.10105820105820106</v>
      </c>
      <c r="K45" s="330">
        <f t="shared" si="22"/>
        <v>-0.0763888888888889</v>
      </c>
      <c r="L45" s="330">
        <f t="shared" si="23"/>
        <v>-0.018808777429467086</v>
      </c>
      <c r="M45" s="95">
        <f t="shared" si="13"/>
        <v>0.9904761904761905</v>
      </c>
      <c r="N45" s="95">
        <f t="shared" si="14"/>
        <v>0.6617179215270413</v>
      </c>
      <c r="O45" s="96">
        <f t="shared" si="15"/>
        <v>0.5039872408293461</v>
      </c>
      <c r="P45" s="95">
        <f t="shared" si="16"/>
        <v>1.0176574455562095</v>
      </c>
      <c r="Q45" s="95">
        <f t="shared" si="17"/>
        <v>0.6480509745127436</v>
      </c>
      <c r="R45" s="96">
        <f t="shared" si="18"/>
        <v>0.5565927654609102</v>
      </c>
    </row>
    <row r="46" spans="1:18" s="58" customFormat="1" ht="16.5" customHeight="1">
      <c r="A46" s="63" t="s">
        <v>170</v>
      </c>
      <c r="B46" s="81">
        <f t="shared" si="19"/>
        <v>1152</v>
      </c>
      <c r="C46" s="358">
        <v>376</v>
      </c>
      <c r="D46" s="358">
        <v>398</v>
      </c>
      <c r="E46" s="358">
        <v>1130</v>
      </c>
      <c r="F46" s="81">
        <f t="shared" si="20"/>
        <v>1175</v>
      </c>
      <c r="G46" s="358">
        <v>354</v>
      </c>
      <c r="H46" s="358">
        <v>377</v>
      </c>
      <c r="I46" s="358">
        <v>1152</v>
      </c>
      <c r="J46" s="70">
        <f t="shared" si="21"/>
        <v>-0.05851063829787234</v>
      </c>
      <c r="K46" s="71">
        <f t="shared" si="22"/>
        <v>-0.052763819095477386</v>
      </c>
      <c r="L46" s="71">
        <f t="shared" si="23"/>
        <v>0.019469026548672566</v>
      </c>
      <c r="M46" s="95">
        <f t="shared" si="13"/>
        <v>1.0585106382978724</v>
      </c>
      <c r="N46" s="95">
        <f t="shared" si="14"/>
        <v>0.2604712041884817</v>
      </c>
      <c r="O46" s="96">
        <f t="shared" si="15"/>
        <v>2.9483204134366927</v>
      </c>
      <c r="P46" s="95">
        <f t="shared" si="16"/>
        <v>1.0649717514124293</v>
      </c>
      <c r="Q46" s="95">
        <f t="shared" si="17"/>
        <v>0.24656638325703073</v>
      </c>
      <c r="R46" s="96">
        <f t="shared" si="18"/>
        <v>3.1833105335157317</v>
      </c>
    </row>
    <row r="47" spans="1:18" s="60" customFormat="1" ht="16.5" customHeight="1">
      <c r="A47" s="63" t="s">
        <v>171</v>
      </c>
      <c r="B47" s="81">
        <f t="shared" si="19"/>
        <v>450</v>
      </c>
      <c r="C47" s="356">
        <v>541</v>
      </c>
      <c r="D47" s="356">
        <v>663</v>
      </c>
      <c r="E47" s="356">
        <v>328</v>
      </c>
      <c r="F47" s="81">
        <f t="shared" si="20"/>
        <v>507</v>
      </c>
      <c r="G47" s="356">
        <v>730</v>
      </c>
      <c r="H47" s="356">
        <v>787</v>
      </c>
      <c r="I47" s="356">
        <v>450</v>
      </c>
      <c r="J47" s="70">
        <f t="shared" si="21"/>
        <v>0.34935304990757854</v>
      </c>
      <c r="K47" s="71">
        <f t="shared" si="22"/>
        <v>0.1870286576168929</v>
      </c>
      <c r="L47" s="71">
        <f t="shared" si="23"/>
        <v>0.3719512195121951</v>
      </c>
      <c r="M47" s="95">
        <f t="shared" si="13"/>
        <v>1.2255083179297597</v>
      </c>
      <c r="N47" s="95">
        <f t="shared" si="14"/>
        <v>0.669021190716448</v>
      </c>
      <c r="O47" s="96">
        <f t="shared" si="15"/>
        <v>0.6461794019933554</v>
      </c>
      <c r="P47" s="95">
        <f t="shared" si="16"/>
        <v>1.0780821917808219</v>
      </c>
      <c r="Q47" s="95">
        <f t="shared" si="17"/>
        <v>0.6362166531932094</v>
      </c>
      <c r="R47" s="96">
        <f t="shared" si="18"/>
        <v>0.6308503625576797</v>
      </c>
    </row>
    <row r="48" spans="1:18" s="58" customFormat="1" ht="16.5" customHeight="1">
      <c r="A48" s="63" t="s">
        <v>172</v>
      </c>
      <c r="B48" s="81">
        <f t="shared" si="19"/>
        <v>186</v>
      </c>
      <c r="C48" s="356">
        <v>433</v>
      </c>
      <c r="D48" s="356">
        <v>472</v>
      </c>
      <c r="E48" s="356">
        <v>147</v>
      </c>
      <c r="F48" s="81">
        <f t="shared" si="20"/>
        <v>337</v>
      </c>
      <c r="G48" s="356">
        <v>400</v>
      </c>
      <c r="H48" s="356">
        <v>551</v>
      </c>
      <c r="I48" s="356">
        <v>186</v>
      </c>
      <c r="J48" s="70">
        <f t="shared" si="21"/>
        <v>-0.07621247113163972</v>
      </c>
      <c r="K48" s="71">
        <f t="shared" si="22"/>
        <v>0.1673728813559322</v>
      </c>
      <c r="L48" s="71">
        <f t="shared" si="23"/>
        <v>0.2653061224489796</v>
      </c>
      <c r="M48" s="95">
        <f t="shared" si="13"/>
        <v>1.090069284064665</v>
      </c>
      <c r="N48" s="95">
        <f t="shared" si="14"/>
        <v>0.7625201938610663</v>
      </c>
      <c r="O48" s="96">
        <f t="shared" si="15"/>
        <v>0.3679558011049724</v>
      </c>
      <c r="P48" s="95">
        <f t="shared" si="16"/>
        <v>1.3775</v>
      </c>
      <c r="Q48" s="95">
        <f t="shared" si="17"/>
        <v>0.7476255088195387</v>
      </c>
      <c r="R48" s="96">
        <f t="shared" si="18"/>
        <v>0.5499474237644585</v>
      </c>
    </row>
    <row r="49" spans="1:18" s="58" customFormat="1" ht="16.5" customHeight="1">
      <c r="A49" s="63" t="s">
        <v>173</v>
      </c>
      <c r="B49" s="81">
        <f t="shared" si="19"/>
        <v>178</v>
      </c>
      <c r="C49" s="358">
        <v>308</v>
      </c>
      <c r="D49" s="358">
        <v>367</v>
      </c>
      <c r="E49" s="358">
        <v>119</v>
      </c>
      <c r="F49" s="81">
        <f t="shared" si="20"/>
        <v>230</v>
      </c>
      <c r="G49" s="358">
        <v>348</v>
      </c>
      <c r="H49" s="358">
        <v>400</v>
      </c>
      <c r="I49" s="358">
        <v>178</v>
      </c>
      <c r="J49" s="70">
        <f t="shared" si="21"/>
        <v>0.12987012987012986</v>
      </c>
      <c r="K49" s="71">
        <f t="shared" si="22"/>
        <v>0.08991825613079019</v>
      </c>
      <c r="L49" s="71">
        <f t="shared" si="23"/>
        <v>0.4957983193277311</v>
      </c>
      <c r="M49" s="95">
        <f t="shared" si="13"/>
        <v>1.1915584415584415</v>
      </c>
      <c r="N49" s="95">
        <f t="shared" si="14"/>
        <v>0.7551440329218106</v>
      </c>
      <c r="O49" s="96">
        <f t="shared" si="15"/>
        <v>0.44</v>
      </c>
      <c r="P49" s="95">
        <f t="shared" si="16"/>
        <v>1.1494252873563218</v>
      </c>
      <c r="Q49" s="95">
        <f t="shared" si="17"/>
        <v>0.6920415224913494</v>
      </c>
      <c r="R49" s="96">
        <f t="shared" si="18"/>
        <v>0.5454545454545454</v>
      </c>
    </row>
    <row r="50" spans="1:18" s="58" customFormat="1" ht="16.5" customHeight="1">
      <c r="A50" s="63" t="s">
        <v>168</v>
      </c>
      <c r="B50" s="81">
        <f t="shared" si="19"/>
        <v>4898</v>
      </c>
      <c r="C50" s="358">
        <v>9118</v>
      </c>
      <c r="D50" s="358">
        <v>9327</v>
      </c>
      <c r="E50" s="358">
        <v>4689</v>
      </c>
      <c r="F50" s="81">
        <f t="shared" si="20"/>
        <v>6569</v>
      </c>
      <c r="G50" s="358">
        <v>8924</v>
      </c>
      <c r="H50" s="358">
        <v>10595</v>
      </c>
      <c r="I50" s="358">
        <v>4898</v>
      </c>
      <c r="J50" s="70">
        <f t="shared" si="21"/>
        <v>-0.02127659574468085</v>
      </c>
      <c r="K50" s="71">
        <f t="shared" si="22"/>
        <v>0.13594939423180016</v>
      </c>
      <c r="L50" s="71">
        <f t="shared" si="23"/>
        <v>0.04457240349754745</v>
      </c>
      <c r="M50" s="95">
        <f t="shared" si="13"/>
        <v>1.0229216933538057</v>
      </c>
      <c r="N50" s="95">
        <f t="shared" si="14"/>
        <v>0.6654537671232876</v>
      </c>
      <c r="O50" s="96">
        <f t="shared" si="15"/>
        <v>0.5197614529682841</v>
      </c>
      <c r="P50" s="95">
        <f t="shared" si="16"/>
        <v>1.187247870909906</v>
      </c>
      <c r="Q50" s="95">
        <f t="shared" si="17"/>
        <v>0.6838572258439295</v>
      </c>
      <c r="R50" s="96">
        <f t="shared" si="18"/>
        <v>0.5874788667452226</v>
      </c>
    </row>
    <row r="51" spans="1:18" s="262" customFormat="1" ht="16.5" customHeight="1">
      <c r="A51" s="538" t="s">
        <v>174</v>
      </c>
      <c r="B51" s="647" t="s">
        <v>458</v>
      </c>
      <c r="C51" s="520" t="s">
        <v>458</v>
      </c>
      <c r="D51" s="520" t="s">
        <v>458</v>
      </c>
      <c r="E51" s="520" t="s">
        <v>458</v>
      </c>
      <c r="F51" s="647" t="s">
        <v>458</v>
      </c>
      <c r="G51" s="520" t="s">
        <v>458</v>
      </c>
      <c r="H51" s="520" t="s">
        <v>458</v>
      </c>
      <c r="I51" s="520" t="s">
        <v>458</v>
      </c>
      <c r="J51" s="650" t="s">
        <v>458</v>
      </c>
      <c r="K51" s="521" t="s">
        <v>458</v>
      </c>
      <c r="L51" s="521" t="s">
        <v>458</v>
      </c>
      <c r="M51" s="523" t="s">
        <v>458</v>
      </c>
      <c r="N51" s="522" t="s">
        <v>458</v>
      </c>
      <c r="O51" s="524" t="s">
        <v>458</v>
      </c>
      <c r="P51" s="522" t="s">
        <v>458</v>
      </c>
      <c r="Q51" s="522" t="s">
        <v>458</v>
      </c>
      <c r="R51" s="524" t="s">
        <v>458</v>
      </c>
    </row>
    <row r="52" spans="1:18" s="58" customFormat="1" ht="16.5" customHeight="1">
      <c r="A52" s="63" t="s">
        <v>175</v>
      </c>
      <c r="B52" s="81">
        <f t="shared" si="19"/>
        <v>107</v>
      </c>
      <c r="C52" s="358">
        <v>182</v>
      </c>
      <c r="D52" s="358">
        <v>166</v>
      </c>
      <c r="E52" s="358">
        <v>123</v>
      </c>
      <c r="F52" s="81">
        <f t="shared" si="20"/>
        <v>100</v>
      </c>
      <c r="G52" s="358">
        <v>246</v>
      </c>
      <c r="H52" s="358">
        <v>239</v>
      </c>
      <c r="I52" s="358">
        <v>107</v>
      </c>
      <c r="J52" s="70">
        <f aca="true" t="shared" si="24" ref="J52:L56">(G52-C52)/C52</f>
        <v>0.3516483516483517</v>
      </c>
      <c r="K52" s="71">
        <f t="shared" si="24"/>
        <v>0.4397590361445783</v>
      </c>
      <c r="L52" s="71">
        <f t="shared" si="24"/>
        <v>-0.13008130081300814</v>
      </c>
      <c r="M52" s="95">
        <f t="shared" si="13"/>
        <v>0.9120879120879121</v>
      </c>
      <c r="N52" s="95">
        <f t="shared" si="14"/>
        <v>0.5743944636678201</v>
      </c>
      <c r="O52" s="96">
        <f t="shared" si="15"/>
        <v>0.6609195402298851</v>
      </c>
      <c r="P52" s="95">
        <f t="shared" si="16"/>
        <v>0.9715447154471545</v>
      </c>
      <c r="Q52" s="95">
        <f t="shared" si="17"/>
        <v>0.6907514450867052</v>
      </c>
      <c r="R52" s="96">
        <f t="shared" si="18"/>
        <v>0.4268041237113402</v>
      </c>
    </row>
    <row r="53" spans="1:18" s="58" customFormat="1" ht="16.5" customHeight="1">
      <c r="A53" s="63" t="s">
        <v>176</v>
      </c>
      <c r="B53" s="81">
        <f t="shared" si="19"/>
        <v>833</v>
      </c>
      <c r="C53" s="356">
        <v>1433</v>
      </c>
      <c r="D53" s="356">
        <v>1542</v>
      </c>
      <c r="E53" s="356">
        <v>724</v>
      </c>
      <c r="F53" s="81">
        <f t="shared" si="20"/>
        <v>1043</v>
      </c>
      <c r="G53" s="356">
        <v>1780</v>
      </c>
      <c r="H53" s="356">
        <v>1990</v>
      </c>
      <c r="I53" s="356">
        <v>833</v>
      </c>
      <c r="J53" s="70">
        <f t="shared" si="24"/>
        <v>0.2421493370551291</v>
      </c>
      <c r="K53" s="71">
        <f t="shared" si="24"/>
        <v>0.2905317769130999</v>
      </c>
      <c r="L53" s="71">
        <f t="shared" si="24"/>
        <v>0.1505524861878453</v>
      </c>
      <c r="M53" s="95">
        <f t="shared" si="13"/>
        <v>1.0760642009769714</v>
      </c>
      <c r="N53" s="95">
        <f t="shared" si="14"/>
        <v>0.6804942630185349</v>
      </c>
      <c r="O53" s="96">
        <f t="shared" si="15"/>
        <v>0.5233613445378151</v>
      </c>
      <c r="P53" s="95">
        <f t="shared" si="16"/>
        <v>1.1179775280898876</v>
      </c>
      <c r="Q53" s="95">
        <f t="shared" si="17"/>
        <v>0.7049238398866454</v>
      </c>
      <c r="R53" s="96">
        <f t="shared" si="18"/>
        <v>0.49761273209549073</v>
      </c>
    </row>
    <row r="54" spans="1:18" s="58" customFormat="1" ht="16.5" customHeight="1">
      <c r="A54" s="63" t="s">
        <v>177</v>
      </c>
      <c r="B54" s="81">
        <f t="shared" si="19"/>
        <v>1311</v>
      </c>
      <c r="C54" s="364">
        <v>674</v>
      </c>
      <c r="D54" s="364">
        <v>880</v>
      </c>
      <c r="E54" s="364">
        <v>1105</v>
      </c>
      <c r="F54" s="81">
        <f t="shared" si="20"/>
        <v>2031</v>
      </c>
      <c r="G54" s="364">
        <v>858</v>
      </c>
      <c r="H54" s="364">
        <v>1578</v>
      </c>
      <c r="I54" s="364">
        <v>1311</v>
      </c>
      <c r="J54" s="70">
        <f t="shared" si="24"/>
        <v>0.27299703264094954</v>
      </c>
      <c r="K54" s="71">
        <f t="shared" si="24"/>
        <v>0.7931818181818182</v>
      </c>
      <c r="L54" s="71">
        <f t="shared" si="24"/>
        <v>0.18642533936651584</v>
      </c>
      <c r="M54" s="95">
        <f t="shared" si="13"/>
        <v>1.3056379821958457</v>
      </c>
      <c r="N54" s="95">
        <f t="shared" si="14"/>
        <v>0.4433249370277078</v>
      </c>
      <c r="O54" s="96">
        <f t="shared" si="15"/>
        <v>1.5546975546975548</v>
      </c>
      <c r="P54" s="95">
        <f t="shared" si="16"/>
        <v>1.8391608391608392</v>
      </c>
      <c r="Q54" s="95">
        <f t="shared" si="17"/>
        <v>0.5462097611630322</v>
      </c>
      <c r="R54" s="96">
        <f t="shared" si="18"/>
        <v>1.3719211822660098</v>
      </c>
    </row>
    <row r="55" spans="1:18" s="58" customFormat="1" ht="16.5" customHeight="1">
      <c r="A55" s="63" t="s">
        <v>178</v>
      </c>
      <c r="B55" s="81">
        <f t="shared" si="19"/>
        <v>52</v>
      </c>
      <c r="C55" s="29">
        <v>125</v>
      </c>
      <c r="D55" s="29">
        <v>137</v>
      </c>
      <c r="E55" s="29">
        <v>40</v>
      </c>
      <c r="F55" s="81">
        <f t="shared" si="20"/>
        <v>43</v>
      </c>
      <c r="G55" s="29">
        <v>131</v>
      </c>
      <c r="H55" s="29">
        <v>124</v>
      </c>
      <c r="I55" s="29">
        <v>50</v>
      </c>
      <c r="J55" s="70">
        <f t="shared" si="24"/>
        <v>0.048</v>
      </c>
      <c r="K55" s="71">
        <f t="shared" si="24"/>
        <v>-0.0948905109489051</v>
      </c>
      <c r="L55" s="71">
        <f t="shared" si="24"/>
        <v>0.25</v>
      </c>
      <c r="M55" s="95">
        <f t="shared" si="13"/>
        <v>1.096</v>
      </c>
      <c r="N55" s="95">
        <f t="shared" si="14"/>
        <v>0.7740112994350282</v>
      </c>
      <c r="O55" s="96">
        <f t="shared" si="15"/>
        <v>0.3511450381679389</v>
      </c>
      <c r="P55" s="95">
        <f t="shared" si="16"/>
        <v>0.9465648854961832</v>
      </c>
      <c r="Q55" s="95">
        <f t="shared" si="17"/>
        <v>0.7126436781609196</v>
      </c>
      <c r="R55" s="96">
        <f t="shared" si="18"/>
        <v>0.36470588235294116</v>
      </c>
    </row>
    <row r="56" spans="1:18" s="58" customFormat="1" ht="16.5" customHeight="1">
      <c r="A56" s="63" t="s">
        <v>179</v>
      </c>
      <c r="B56" s="81">
        <f t="shared" si="19"/>
        <v>53</v>
      </c>
      <c r="C56" s="358">
        <v>172</v>
      </c>
      <c r="D56" s="358">
        <v>183</v>
      </c>
      <c r="E56" s="358">
        <v>42</v>
      </c>
      <c r="F56" s="81">
        <f t="shared" si="20"/>
        <v>61</v>
      </c>
      <c r="G56" s="358">
        <v>109</v>
      </c>
      <c r="H56" s="358">
        <v>117</v>
      </c>
      <c r="I56" s="358">
        <v>53</v>
      </c>
      <c r="J56" s="70">
        <f t="shared" si="24"/>
        <v>-0.36627906976744184</v>
      </c>
      <c r="K56" s="71">
        <f t="shared" si="24"/>
        <v>-0.36065573770491804</v>
      </c>
      <c r="L56" s="71">
        <f t="shared" si="24"/>
        <v>0.2619047619047619</v>
      </c>
      <c r="M56" s="95">
        <f t="shared" si="13"/>
        <v>1.063953488372093</v>
      </c>
      <c r="N56" s="95">
        <f t="shared" si="14"/>
        <v>0.8133333333333334</v>
      </c>
      <c r="O56" s="96">
        <f t="shared" si="15"/>
        <v>0.2676056338028169</v>
      </c>
      <c r="P56" s="95">
        <f t="shared" si="16"/>
        <v>1.073394495412844</v>
      </c>
      <c r="Q56" s="95">
        <f t="shared" si="17"/>
        <v>0.6882352941176471</v>
      </c>
      <c r="R56" s="96">
        <f t="shared" si="18"/>
        <v>0.504424778761062</v>
      </c>
    </row>
    <row r="57" spans="1:18" s="262" customFormat="1" ht="16.5" customHeight="1">
      <c r="A57" s="538" t="s">
        <v>180</v>
      </c>
      <c r="B57" s="647" t="s">
        <v>458</v>
      </c>
      <c r="C57" s="525" t="s">
        <v>458</v>
      </c>
      <c r="D57" s="525" t="s">
        <v>458</v>
      </c>
      <c r="E57" s="525" t="s">
        <v>458</v>
      </c>
      <c r="F57" s="661" t="s">
        <v>458</v>
      </c>
      <c r="G57" s="525" t="s">
        <v>458</v>
      </c>
      <c r="H57" s="525" t="s">
        <v>458</v>
      </c>
      <c r="I57" s="525" t="s">
        <v>458</v>
      </c>
      <c r="J57" s="648" t="s">
        <v>458</v>
      </c>
      <c r="K57" s="649" t="s">
        <v>458</v>
      </c>
      <c r="L57" s="649" t="s">
        <v>458</v>
      </c>
      <c r="M57" s="522" t="s">
        <v>458</v>
      </c>
      <c r="N57" s="522" t="s">
        <v>458</v>
      </c>
      <c r="O57" s="524" t="s">
        <v>458</v>
      </c>
      <c r="P57" s="522" t="s">
        <v>458</v>
      </c>
      <c r="Q57" s="522" t="s">
        <v>458</v>
      </c>
      <c r="R57" s="524" t="s">
        <v>458</v>
      </c>
    </row>
    <row r="58" spans="1:18" s="58" customFormat="1" ht="16.5" customHeight="1" thickBot="1">
      <c r="A58" s="64" t="s">
        <v>167</v>
      </c>
      <c r="B58" s="357">
        <f t="shared" si="19"/>
        <v>10159</v>
      </c>
      <c r="C58" s="357">
        <f>SUM(C45:C57)</f>
        <v>15252</v>
      </c>
      <c r="D58" s="357">
        <f>SUM(D45:D57)</f>
        <v>16007</v>
      </c>
      <c r="E58" s="357">
        <f>SUM(E45:E57)</f>
        <v>9404</v>
      </c>
      <c r="F58" s="357">
        <f t="shared" si="20"/>
        <v>13065</v>
      </c>
      <c r="G58" s="357">
        <f>SUM(G45:G57)</f>
        <v>15579</v>
      </c>
      <c r="H58" s="357">
        <f>SUM(H45:H57)</f>
        <v>18487</v>
      </c>
      <c r="I58" s="357">
        <f>SUM(I45:I57)</f>
        <v>10157</v>
      </c>
      <c r="J58" s="517">
        <f aca="true" t="shared" si="25" ref="J58:J69">(G58-C58)/C58</f>
        <v>0.02143981117230527</v>
      </c>
      <c r="K58" s="517">
        <f aca="true" t="shared" si="26" ref="K58:K69">(H58-D58)/D58</f>
        <v>0.1549322171549947</v>
      </c>
      <c r="L58" s="517">
        <f aca="true" t="shared" si="27" ref="L58:L69">(I58-E58)/E58</f>
        <v>0.08007230965546576</v>
      </c>
      <c r="M58" s="95">
        <f t="shared" si="13"/>
        <v>1.0495017046944664</v>
      </c>
      <c r="N58" s="95">
        <f t="shared" si="14"/>
        <v>0.6299240486403526</v>
      </c>
      <c r="O58" s="96">
        <f t="shared" si="15"/>
        <v>0.6258357593013212</v>
      </c>
      <c r="P58" s="95">
        <f t="shared" si="16"/>
        <v>1.18666153154888</v>
      </c>
      <c r="Q58" s="95">
        <f t="shared" si="17"/>
        <v>0.645405669599218</v>
      </c>
      <c r="R58" s="96">
        <f t="shared" si="18"/>
        <v>0.6816767451417836</v>
      </c>
    </row>
    <row r="59" spans="1:18" s="58" customFormat="1" ht="16.5" customHeight="1" thickTop="1">
      <c r="A59" s="63" t="s">
        <v>186</v>
      </c>
      <c r="B59" s="81">
        <f t="shared" si="19"/>
        <v>279</v>
      </c>
      <c r="C59" s="365">
        <v>142</v>
      </c>
      <c r="D59" s="365">
        <v>258</v>
      </c>
      <c r="E59" s="365">
        <v>163</v>
      </c>
      <c r="F59" s="81">
        <f t="shared" si="20"/>
        <v>348</v>
      </c>
      <c r="G59" s="365">
        <v>159</v>
      </c>
      <c r="H59" s="365">
        <v>228</v>
      </c>
      <c r="I59" s="365">
        <v>279</v>
      </c>
      <c r="J59" s="329">
        <f t="shared" si="25"/>
        <v>0.11971830985915492</v>
      </c>
      <c r="K59" s="330">
        <f t="shared" si="26"/>
        <v>-0.11627906976744186</v>
      </c>
      <c r="L59" s="330">
        <f t="shared" si="27"/>
        <v>0.7116564417177914</v>
      </c>
      <c r="M59" s="95">
        <f t="shared" si="13"/>
        <v>1.8169014084507042</v>
      </c>
      <c r="N59" s="95">
        <f t="shared" si="14"/>
        <v>0.6128266033254157</v>
      </c>
      <c r="O59" s="96">
        <f t="shared" si="15"/>
        <v>1.105</v>
      </c>
      <c r="P59" s="95">
        <f t="shared" si="16"/>
        <v>1.4339622641509433</v>
      </c>
      <c r="Q59" s="95">
        <f t="shared" si="17"/>
        <v>0.44970414201183434</v>
      </c>
      <c r="R59" s="96">
        <f t="shared" si="18"/>
        <v>1.62015503875969</v>
      </c>
    </row>
    <row r="60" spans="1:18" s="58" customFormat="1" ht="16.5" customHeight="1">
      <c r="A60" s="63" t="s">
        <v>187</v>
      </c>
      <c r="B60" s="81">
        <f t="shared" si="19"/>
        <v>369</v>
      </c>
      <c r="C60" s="358">
        <v>372</v>
      </c>
      <c r="D60" s="358">
        <v>302</v>
      </c>
      <c r="E60" s="358">
        <v>439</v>
      </c>
      <c r="F60" s="81">
        <f t="shared" si="20"/>
        <v>432</v>
      </c>
      <c r="G60" s="358">
        <v>375</v>
      </c>
      <c r="H60" s="358">
        <v>438</v>
      </c>
      <c r="I60" s="358">
        <v>369</v>
      </c>
      <c r="J60" s="70">
        <f t="shared" si="25"/>
        <v>0.008064516129032258</v>
      </c>
      <c r="K60" s="71">
        <f t="shared" si="26"/>
        <v>0.4503311258278146</v>
      </c>
      <c r="L60" s="71">
        <f t="shared" si="27"/>
        <v>-0.15945330296127563</v>
      </c>
      <c r="M60" s="95">
        <f t="shared" si="13"/>
        <v>0.8118279569892473</v>
      </c>
      <c r="N60" s="95">
        <f t="shared" si="14"/>
        <v>0.407557354925776</v>
      </c>
      <c r="O60" s="96">
        <f t="shared" si="15"/>
        <v>1.198813056379822</v>
      </c>
      <c r="P60" s="95">
        <f t="shared" si="16"/>
        <v>1.168</v>
      </c>
      <c r="Q60" s="95">
        <f t="shared" si="17"/>
        <v>0.5427509293680297</v>
      </c>
      <c r="R60" s="96">
        <f t="shared" si="18"/>
        <v>0.985239852398524</v>
      </c>
    </row>
    <row r="61" spans="1:18" s="58" customFormat="1" ht="16.5" customHeight="1">
      <c r="A61" s="63" t="s">
        <v>456</v>
      </c>
      <c r="B61" s="81">
        <f t="shared" si="19"/>
        <v>222</v>
      </c>
      <c r="C61" s="358">
        <v>318</v>
      </c>
      <c r="D61" s="358">
        <v>321</v>
      </c>
      <c r="E61" s="358">
        <v>219</v>
      </c>
      <c r="F61" s="81">
        <f t="shared" si="20"/>
        <v>258</v>
      </c>
      <c r="G61" s="358">
        <v>329</v>
      </c>
      <c r="H61" s="358">
        <v>365</v>
      </c>
      <c r="I61" s="358">
        <v>222</v>
      </c>
      <c r="J61" s="70">
        <f t="shared" si="25"/>
        <v>0.03459119496855346</v>
      </c>
      <c r="K61" s="71">
        <f t="shared" si="26"/>
        <v>0.13707165109034267</v>
      </c>
      <c r="L61" s="71">
        <f t="shared" si="27"/>
        <v>0.0136986301369863</v>
      </c>
      <c r="M61" s="95">
        <f t="shared" si="13"/>
        <v>1.009433962264151</v>
      </c>
      <c r="N61" s="95">
        <f t="shared" si="14"/>
        <v>0.5944444444444444</v>
      </c>
      <c r="O61" s="96">
        <f t="shared" si="15"/>
        <v>0.6901408450704225</v>
      </c>
      <c r="P61" s="95">
        <f t="shared" si="16"/>
        <v>1.1094224924012157</v>
      </c>
      <c r="Q61" s="95">
        <f t="shared" si="17"/>
        <v>0.6218057921635435</v>
      </c>
      <c r="R61" s="96">
        <f t="shared" si="18"/>
        <v>0.69164265129683</v>
      </c>
    </row>
    <row r="62" spans="1:18" s="58" customFormat="1" ht="16.5" customHeight="1">
      <c r="A62" s="63" t="s">
        <v>181</v>
      </c>
      <c r="B62" s="81">
        <f t="shared" si="19"/>
        <v>554</v>
      </c>
      <c r="C62" s="358">
        <v>974</v>
      </c>
      <c r="D62" s="358">
        <v>996</v>
      </c>
      <c r="E62" s="358">
        <v>532</v>
      </c>
      <c r="F62" s="81">
        <f t="shared" si="20"/>
        <v>538</v>
      </c>
      <c r="G62" s="358">
        <v>993</v>
      </c>
      <c r="H62" s="358">
        <v>977</v>
      </c>
      <c r="I62" s="358">
        <v>554</v>
      </c>
      <c r="J62" s="70">
        <f t="shared" si="25"/>
        <v>0.019507186858316223</v>
      </c>
      <c r="K62" s="71">
        <f t="shared" si="26"/>
        <v>-0.019076305220883535</v>
      </c>
      <c r="L62" s="71">
        <f t="shared" si="27"/>
        <v>0.041353383458646614</v>
      </c>
      <c r="M62" s="95">
        <f t="shared" si="13"/>
        <v>1.0225872689938398</v>
      </c>
      <c r="N62" s="95">
        <f t="shared" si="14"/>
        <v>0.6518324607329843</v>
      </c>
      <c r="O62" s="96">
        <f t="shared" si="15"/>
        <v>0.5512690355329949</v>
      </c>
      <c r="P62" s="95">
        <f t="shared" si="16"/>
        <v>0.9838872104733132</v>
      </c>
      <c r="Q62" s="95">
        <f t="shared" si="17"/>
        <v>0.6381450032658393</v>
      </c>
      <c r="R62" s="96">
        <f t="shared" si="18"/>
        <v>0.5543147208121827</v>
      </c>
    </row>
    <row r="63" spans="1:18" s="58" customFormat="1" ht="16.5" customHeight="1">
      <c r="A63" s="63" t="s">
        <v>185</v>
      </c>
      <c r="B63" s="81">
        <f t="shared" si="19"/>
        <v>1554</v>
      </c>
      <c r="C63" s="356">
        <v>1698</v>
      </c>
      <c r="D63" s="356">
        <v>1760</v>
      </c>
      <c r="E63" s="356">
        <v>1492</v>
      </c>
      <c r="F63" s="81">
        <f t="shared" si="20"/>
        <v>1809</v>
      </c>
      <c r="G63" s="356">
        <v>1860</v>
      </c>
      <c r="H63" s="356">
        <v>2115</v>
      </c>
      <c r="I63" s="356">
        <v>1554</v>
      </c>
      <c r="J63" s="70">
        <f t="shared" si="25"/>
        <v>0.09540636042402827</v>
      </c>
      <c r="K63" s="71">
        <f t="shared" si="26"/>
        <v>0.20170454545454544</v>
      </c>
      <c r="L63" s="71">
        <f t="shared" si="27"/>
        <v>0.04155495978552279</v>
      </c>
      <c r="M63" s="95">
        <f t="shared" si="13"/>
        <v>1.0365135453474676</v>
      </c>
      <c r="N63" s="95">
        <f t="shared" si="14"/>
        <v>0.5412054120541205</v>
      </c>
      <c r="O63" s="96">
        <f t="shared" si="15"/>
        <v>0.8808559861191441</v>
      </c>
      <c r="P63" s="95">
        <f t="shared" si="16"/>
        <v>1.1370967741935485</v>
      </c>
      <c r="Q63" s="95">
        <f t="shared" si="17"/>
        <v>0.5764513491414555</v>
      </c>
      <c r="R63" s="96">
        <f t="shared" si="18"/>
        <v>0.8460377358490566</v>
      </c>
    </row>
    <row r="64" spans="1:18" s="58" customFormat="1" ht="16.5" customHeight="1">
      <c r="A64" s="63" t="s">
        <v>457</v>
      </c>
      <c r="B64" s="81">
        <f t="shared" si="19"/>
        <v>87</v>
      </c>
      <c r="C64" s="356">
        <v>240</v>
      </c>
      <c r="D64" s="356">
        <v>231</v>
      </c>
      <c r="E64" s="356">
        <v>96</v>
      </c>
      <c r="F64" s="81">
        <f t="shared" si="20"/>
        <v>84</v>
      </c>
      <c r="G64" s="356">
        <v>281</v>
      </c>
      <c r="H64" s="356">
        <v>278</v>
      </c>
      <c r="I64" s="356">
        <v>87</v>
      </c>
      <c r="J64" s="70">
        <f t="shared" si="25"/>
        <v>0.17083333333333334</v>
      </c>
      <c r="K64" s="71">
        <f t="shared" si="26"/>
        <v>0.20346320346320346</v>
      </c>
      <c r="L64" s="71">
        <f t="shared" si="27"/>
        <v>-0.09375</v>
      </c>
      <c r="M64" s="95">
        <f t="shared" si="13"/>
        <v>0.9625</v>
      </c>
      <c r="N64" s="95">
        <f t="shared" si="14"/>
        <v>0.7064220183486238</v>
      </c>
      <c r="O64" s="96">
        <f t="shared" si="15"/>
        <v>0.3885350318471338</v>
      </c>
      <c r="P64" s="95">
        <f t="shared" si="16"/>
        <v>0.9893238434163701</v>
      </c>
      <c r="Q64" s="95">
        <f t="shared" si="17"/>
        <v>0.7616438356164383</v>
      </c>
      <c r="R64" s="96">
        <f t="shared" si="18"/>
        <v>0.30590339892665475</v>
      </c>
    </row>
    <row r="65" spans="1:18" s="58" customFormat="1" ht="16.5" customHeight="1">
      <c r="A65" s="63" t="s">
        <v>188</v>
      </c>
      <c r="B65" s="81">
        <f t="shared" si="19"/>
        <v>1073</v>
      </c>
      <c r="C65" s="364">
        <v>1297</v>
      </c>
      <c r="D65" s="364">
        <v>1148</v>
      </c>
      <c r="E65" s="364">
        <v>1222</v>
      </c>
      <c r="F65" s="81">
        <f t="shared" si="20"/>
        <v>946</v>
      </c>
      <c r="G65" s="364">
        <v>1820</v>
      </c>
      <c r="H65" s="364">
        <v>1693</v>
      </c>
      <c r="I65" s="364">
        <v>1073</v>
      </c>
      <c r="J65" s="70">
        <f t="shared" si="25"/>
        <v>0.40323824209714726</v>
      </c>
      <c r="K65" s="71">
        <f t="shared" si="26"/>
        <v>0.47473867595818814</v>
      </c>
      <c r="L65" s="71">
        <f t="shared" si="27"/>
        <v>-0.12193126022913257</v>
      </c>
      <c r="M65" s="95">
        <f t="shared" si="13"/>
        <v>0.8851195065535852</v>
      </c>
      <c r="N65" s="95">
        <f t="shared" si="14"/>
        <v>0.48438818565400843</v>
      </c>
      <c r="O65" s="96">
        <f t="shared" si="15"/>
        <v>0.9386503067484663</v>
      </c>
      <c r="P65" s="95">
        <f t="shared" si="16"/>
        <v>0.9302197802197802</v>
      </c>
      <c r="Q65" s="95">
        <f t="shared" si="17"/>
        <v>0.6120751988430947</v>
      </c>
      <c r="R65" s="96">
        <f t="shared" si="18"/>
        <v>0.5747224594363791</v>
      </c>
    </row>
    <row r="66" spans="1:18" s="58" customFormat="1" ht="16.5" customHeight="1" thickBot="1">
      <c r="A66" s="64" t="s">
        <v>184</v>
      </c>
      <c r="B66" s="512">
        <f t="shared" si="19"/>
        <v>4138</v>
      </c>
      <c r="C66" s="357">
        <f>SUM(C59:C65)</f>
        <v>5041</v>
      </c>
      <c r="D66" s="357">
        <f>SUM(D59:D65)</f>
        <v>5016</v>
      </c>
      <c r="E66" s="357">
        <f>SUM(E59:E65)</f>
        <v>4163</v>
      </c>
      <c r="F66" s="512">
        <f t="shared" si="20"/>
        <v>4415</v>
      </c>
      <c r="G66" s="357">
        <f>SUM(G59:G65)</f>
        <v>5817</v>
      </c>
      <c r="H66" s="357">
        <f>SUM(H59:H65)</f>
        <v>6094</v>
      </c>
      <c r="I66" s="357">
        <f>SUM(I59:I65)</f>
        <v>4138</v>
      </c>
      <c r="J66" s="517">
        <f t="shared" si="25"/>
        <v>0.1539377107716723</v>
      </c>
      <c r="K66" s="517">
        <f t="shared" si="26"/>
        <v>0.2149122807017544</v>
      </c>
      <c r="L66" s="517">
        <f t="shared" si="27"/>
        <v>-0.006005284650492433</v>
      </c>
      <c r="M66" s="95">
        <f t="shared" si="13"/>
        <v>0.9950406665344178</v>
      </c>
      <c r="N66" s="95">
        <f t="shared" si="14"/>
        <v>0.5464647565094237</v>
      </c>
      <c r="O66" s="96">
        <f t="shared" si="15"/>
        <v>0.825395247091578</v>
      </c>
      <c r="P66" s="95">
        <f t="shared" si="16"/>
        <v>1.0476190476190477</v>
      </c>
      <c r="Q66" s="95">
        <f t="shared" si="17"/>
        <v>0.5955824863174355</v>
      </c>
      <c r="R66" s="96">
        <f t="shared" si="18"/>
        <v>0.7180757283183612</v>
      </c>
    </row>
    <row r="67" spans="1:18" s="58" customFormat="1" ht="16.5" customHeight="1" thickTop="1">
      <c r="A67" s="63" t="s">
        <v>191</v>
      </c>
      <c r="B67" s="328">
        <f t="shared" si="19"/>
        <v>403</v>
      </c>
      <c r="C67" s="363">
        <v>415</v>
      </c>
      <c r="D67" s="363">
        <v>474</v>
      </c>
      <c r="E67" s="363">
        <v>344</v>
      </c>
      <c r="F67" s="328">
        <f t="shared" si="20"/>
        <v>469</v>
      </c>
      <c r="G67" s="363">
        <v>611</v>
      </c>
      <c r="H67" s="363">
        <v>677</v>
      </c>
      <c r="I67" s="363">
        <v>403</v>
      </c>
      <c r="J67" s="329">
        <f t="shared" si="25"/>
        <v>0.472289156626506</v>
      </c>
      <c r="K67" s="330">
        <f t="shared" si="26"/>
        <v>0.4282700421940928</v>
      </c>
      <c r="L67" s="330">
        <f t="shared" si="27"/>
        <v>0.17151162790697674</v>
      </c>
      <c r="M67" s="95">
        <f t="shared" si="13"/>
        <v>1.1421686746987951</v>
      </c>
      <c r="N67" s="95">
        <f t="shared" si="14"/>
        <v>0.5794621026894865</v>
      </c>
      <c r="O67" s="96">
        <f t="shared" si="15"/>
        <v>0.8402699662542182</v>
      </c>
      <c r="P67" s="95">
        <f t="shared" si="16"/>
        <v>1.1080196399345335</v>
      </c>
      <c r="Q67" s="95">
        <f t="shared" si="17"/>
        <v>0.6268518518518519</v>
      </c>
      <c r="R67" s="96">
        <f t="shared" si="18"/>
        <v>0.6770186335403726</v>
      </c>
    </row>
    <row r="68" spans="1:18" s="58" customFormat="1" ht="16.5" customHeight="1">
      <c r="A68" s="63" t="s">
        <v>192</v>
      </c>
      <c r="B68" s="81">
        <f t="shared" si="19"/>
        <v>461</v>
      </c>
      <c r="C68" s="356">
        <v>248</v>
      </c>
      <c r="D68" s="356">
        <v>444</v>
      </c>
      <c r="E68" s="356">
        <v>265</v>
      </c>
      <c r="F68" s="81">
        <f t="shared" si="20"/>
        <v>554</v>
      </c>
      <c r="G68" s="356">
        <v>432</v>
      </c>
      <c r="H68" s="356">
        <v>525</v>
      </c>
      <c r="I68" s="356">
        <v>461</v>
      </c>
      <c r="J68" s="70">
        <f t="shared" si="25"/>
        <v>0.7419354838709677</v>
      </c>
      <c r="K68" s="71">
        <f t="shared" si="26"/>
        <v>0.18243243243243243</v>
      </c>
      <c r="L68" s="71">
        <f t="shared" si="27"/>
        <v>0.7396226415094339</v>
      </c>
      <c r="M68" s="95">
        <f t="shared" si="13"/>
        <v>1.7903225806451613</v>
      </c>
      <c r="N68" s="95">
        <f t="shared" si="14"/>
        <v>0.6262341325811002</v>
      </c>
      <c r="O68" s="96">
        <f t="shared" si="15"/>
        <v>1.0491329479768785</v>
      </c>
      <c r="P68" s="95">
        <f t="shared" si="16"/>
        <v>1.2152777777777777</v>
      </c>
      <c r="Q68" s="95">
        <f t="shared" si="17"/>
        <v>0.5324543610547667</v>
      </c>
      <c r="R68" s="96">
        <f t="shared" si="18"/>
        <v>1.0606060606060606</v>
      </c>
    </row>
    <row r="69" spans="1:18" s="58" customFormat="1" ht="16.5" customHeight="1">
      <c r="A69" s="63" t="s">
        <v>193</v>
      </c>
      <c r="B69" s="81">
        <f t="shared" si="19"/>
        <v>310</v>
      </c>
      <c r="C69" s="364">
        <v>382</v>
      </c>
      <c r="D69" s="364">
        <v>375</v>
      </c>
      <c r="E69" s="364">
        <v>317</v>
      </c>
      <c r="F69" s="81">
        <f t="shared" si="20"/>
        <v>355</v>
      </c>
      <c r="G69" s="364">
        <v>336</v>
      </c>
      <c r="H69" s="364">
        <v>381</v>
      </c>
      <c r="I69" s="364">
        <v>310</v>
      </c>
      <c r="J69" s="70">
        <f t="shared" si="25"/>
        <v>-0.12041884816753927</v>
      </c>
      <c r="K69" s="71">
        <f t="shared" si="26"/>
        <v>0.016</v>
      </c>
      <c r="L69" s="71">
        <f t="shared" si="27"/>
        <v>-0.022082018927444796</v>
      </c>
      <c r="M69" s="95">
        <f t="shared" si="13"/>
        <v>0.981675392670157</v>
      </c>
      <c r="N69" s="95">
        <f t="shared" si="14"/>
        <v>0.541907514450867</v>
      </c>
      <c r="O69" s="96">
        <f t="shared" si="15"/>
        <v>0.8282694848084544</v>
      </c>
      <c r="P69" s="95">
        <f t="shared" si="16"/>
        <v>1.1339285714285714</v>
      </c>
      <c r="Q69" s="95">
        <f t="shared" si="17"/>
        <v>0.5513748191027497</v>
      </c>
      <c r="R69" s="96">
        <f t="shared" si="18"/>
        <v>0.9274755927475593</v>
      </c>
    </row>
    <row r="70" spans="1:18" s="262" customFormat="1" ht="16.5" customHeight="1">
      <c r="A70" s="219" t="s">
        <v>194</v>
      </c>
      <c r="B70" s="526">
        <f t="shared" si="19"/>
        <v>397</v>
      </c>
      <c r="C70" s="527">
        <v>982</v>
      </c>
      <c r="D70" s="527">
        <v>1004</v>
      </c>
      <c r="E70" s="527">
        <v>375</v>
      </c>
      <c r="F70" s="526">
        <f t="shared" si="20"/>
        <v>537</v>
      </c>
      <c r="G70" s="527">
        <v>1193</v>
      </c>
      <c r="H70" s="527">
        <v>1333</v>
      </c>
      <c r="I70" s="527">
        <v>397</v>
      </c>
      <c r="J70" s="528">
        <f>(G70-C70)/C70</f>
        <v>0.21486761710794297</v>
      </c>
      <c r="K70" s="529">
        <f>(H70-D70)/D70</f>
        <v>0.32768924302788843</v>
      </c>
      <c r="L70" s="529">
        <f>(I70-E70)/E70</f>
        <v>0.058666666666666666</v>
      </c>
      <c r="M70" s="533">
        <f t="shared" si="13"/>
        <v>1.0224032586558045</v>
      </c>
      <c r="N70" s="533">
        <f t="shared" si="14"/>
        <v>0.7280638143582306</v>
      </c>
      <c r="O70" s="534">
        <f t="shared" si="15"/>
        <v>0.38872104733131924</v>
      </c>
      <c r="P70" s="533">
        <f t="shared" si="16"/>
        <v>1.1173512154233025</v>
      </c>
      <c r="Q70" s="533">
        <f t="shared" si="17"/>
        <v>0.7705202312138728</v>
      </c>
      <c r="R70" s="534">
        <f t="shared" si="18"/>
        <v>0.36975455265241486</v>
      </c>
    </row>
    <row r="71" spans="1:18" s="58" customFormat="1" ht="16.5" customHeight="1">
      <c r="A71" s="219" t="s">
        <v>195</v>
      </c>
      <c r="B71" s="526">
        <f t="shared" si="19"/>
        <v>607</v>
      </c>
      <c r="C71" s="530">
        <v>313</v>
      </c>
      <c r="D71" s="530">
        <v>415</v>
      </c>
      <c r="E71" s="530">
        <v>505</v>
      </c>
      <c r="F71" s="526">
        <f t="shared" si="20"/>
        <v>607</v>
      </c>
      <c r="G71" s="530">
        <v>484</v>
      </c>
      <c r="H71" s="530">
        <v>484</v>
      </c>
      <c r="I71" s="530">
        <v>607</v>
      </c>
      <c r="J71" s="528">
        <f aca="true" t="shared" si="28" ref="J71:L77">(G71-C71)/C71</f>
        <v>0.5463258785942492</v>
      </c>
      <c r="K71" s="529">
        <f t="shared" si="28"/>
        <v>0.16626506024096385</v>
      </c>
      <c r="L71" s="529">
        <f t="shared" si="28"/>
        <v>0.201980198019802</v>
      </c>
      <c r="M71" s="533">
        <f t="shared" si="13"/>
        <v>1.3258785942492013</v>
      </c>
      <c r="N71" s="533">
        <f t="shared" si="14"/>
        <v>0.45108695652173914</v>
      </c>
      <c r="O71" s="534">
        <f t="shared" si="15"/>
        <v>1.5274725274725274</v>
      </c>
      <c r="P71" s="533">
        <f t="shared" si="16"/>
        <v>1</v>
      </c>
      <c r="Q71" s="533">
        <f t="shared" si="17"/>
        <v>0.44362969752520626</v>
      </c>
      <c r="R71" s="534">
        <f t="shared" si="18"/>
        <v>1.2541322314049588</v>
      </c>
    </row>
    <row r="72" spans="1:18" s="262" customFormat="1" ht="16.5" customHeight="1">
      <c r="A72" s="219" t="s">
        <v>196</v>
      </c>
      <c r="B72" s="526">
        <f t="shared" si="19"/>
        <v>381</v>
      </c>
      <c r="C72" s="531">
        <v>193</v>
      </c>
      <c r="D72" s="531">
        <v>194</v>
      </c>
      <c r="E72" s="531">
        <v>380</v>
      </c>
      <c r="F72" s="526">
        <f t="shared" si="20"/>
        <v>431</v>
      </c>
      <c r="G72" s="531">
        <v>440</v>
      </c>
      <c r="H72" s="531">
        <v>490</v>
      </c>
      <c r="I72" s="531">
        <v>381</v>
      </c>
      <c r="J72" s="528">
        <f t="shared" si="28"/>
        <v>1.2797927461139897</v>
      </c>
      <c r="K72" s="529">
        <f t="shared" si="28"/>
        <v>1.5257731958762886</v>
      </c>
      <c r="L72" s="529">
        <f t="shared" si="28"/>
        <v>0.002631578947368421</v>
      </c>
      <c r="M72" s="533">
        <f t="shared" si="13"/>
        <v>1.005181347150259</v>
      </c>
      <c r="N72" s="533">
        <f t="shared" si="14"/>
        <v>0.33797909407665505</v>
      </c>
      <c r="O72" s="534">
        <f t="shared" si="15"/>
        <v>1.9664082687338502</v>
      </c>
      <c r="P72" s="533">
        <f t="shared" si="16"/>
        <v>1.1136363636363635</v>
      </c>
      <c r="Q72" s="533">
        <f t="shared" si="17"/>
        <v>0.5625717566016073</v>
      </c>
      <c r="R72" s="534">
        <f t="shared" si="18"/>
        <v>0.8731182795698925</v>
      </c>
    </row>
    <row r="73" spans="1:18" s="58" customFormat="1" ht="16.5" customHeight="1">
      <c r="A73" s="63" t="s">
        <v>197</v>
      </c>
      <c r="B73" s="526">
        <f t="shared" si="19"/>
        <v>45</v>
      </c>
      <c r="C73" s="532">
        <v>109</v>
      </c>
      <c r="D73" s="532">
        <v>102</v>
      </c>
      <c r="E73" s="532">
        <v>52</v>
      </c>
      <c r="F73" s="526">
        <f t="shared" si="20"/>
        <v>39</v>
      </c>
      <c r="G73" s="532">
        <v>129</v>
      </c>
      <c r="H73" s="532">
        <v>123</v>
      </c>
      <c r="I73" s="532">
        <v>45</v>
      </c>
      <c r="J73" s="528">
        <f t="shared" si="28"/>
        <v>0.1834862385321101</v>
      </c>
      <c r="K73" s="529">
        <f t="shared" si="28"/>
        <v>0.20588235294117646</v>
      </c>
      <c r="L73" s="529">
        <f t="shared" si="28"/>
        <v>-0.1346153846153846</v>
      </c>
      <c r="M73" s="95">
        <f t="shared" si="13"/>
        <v>0.9357798165137615</v>
      </c>
      <c r="N73" s="95">
        <f t="shared" si="14"/>
        <v>0.6623376623376623</v>
      </c>
      <c r="O73" s="96">
        <f t="shared" si="15"/>
        <v>0.4597156398104265</v>
      </c>
      <c r="P73" s="95">
        <f t="shared" si="16"/>
        <v>0.9534883720930233</v>
      </c>
      <c r="Q73" s="95">
        <f t="shared" si="17"/>
        <v>0.7321428571428571</v>
      </c>
      <c r="R73" s="96">
        <f t="shared" si="18"/>
        <v>0.3333333333333333</v>
      </c>
    </row>
    <row r="74" spans="1:18" s="90" customFormat="1" ht="16.5" customHeight="1">
      <c r="A74" s="219" t="s">
        <v>190</v>
      </c>
      <c r="B74" s="526">
        <f t="shared" si="19"/>
        <v>2631</v>
      </c>
      <c r="C74" s="532">
        <v>1312</v>
      </c>
      <c r="D74" s="532">
        <v>1520</v>
      </c>
      <c r="E74" s="532">
        <v>2423</v>
      </c>
      <c r="F74" s="526">
        <f t="shared" si="20"/>
        <v>2860</v>
      </c>
      <c r="G74" s="532">
        <v>3237</v>
      </c>
      <c r="H74" s="532">
        <v>3466</v>
      </c>
      <c r="I74" s="532">
        <v>2631</v>
      </c>
      <c r="J74" s="528">
        <f>(G74-C74)/C74</f>
        <v>1.4672256097560976</v>
      </c>
      <c r="K74" s="529">
        <f>(H74-D74)/D74</f>
        <v>1.2802631578947368</v>
      </c>
      <c r="L74" s="529">
        <f>(I74-E74)/E74</f>
        <v>0.08584399504746182</v>
      </c>
      <c r="M74" s="95">
        <f>IF(C74&gt;0,D74/C74," ")</f>
        <v>1.1585365853658536</v>
      </c>
      <c r="N74" s="95">
        <f>IF(D74&gt;0,D74/(B74+C74)," ")</f>
        <v>0.38549327922901344</v>
      </c>
      <c r="O74" s="96">
        <f>IF((C74+D74)&gt;0,(B74+E74)/(C74+D74)," ")</f>
        <v>1.7846045197740112</v>
      </c>
      <c r="P74" s="95">
        <f>IF(G74&gt;0,H74/G74," ")</f>
        <v>1.070744516527649</v>
      </c>
      <c r="Q74" s="95">
        <f>IF(H74&gt;0,H74/(F74+G74)," ")</f>
        <v>0.5684762998195834</v>
      </c>
      <c r="R74" s="96">
        <f>IF((G74+H74)&gt;0,(F74+I74)/(G74+H74)," ")</f>
        <v>0.8191854393555125</v>
      </c>
    </row>
    <row r="75" spans="1:18" s="58" customFormat="1" ht="16.5" customHeight="1">
      <c r="A75" s="63" t="s">
        <v>198</v>
      </c>
      <c r="B75" s="81">
        <f t="shared" si="19"/>
        <v>10</v>
      </c>
      <c r="C75" s="29">
        <v>18</v>
      </c>
      <c r="D75" s="29">
        <v>18</v>
      </c>
      <c r="E75" s="29">
        <v>10</v>
      </c>
      <c r="F75" s="81">
        <f t="shared" si="20"/>
        <v>19</v>
      </c>
      <c r="G75" s="29">
        <v>31</v>
      </c>
      <c r="H75" s="29">
        <v>40</v>
      </c>
      <c r="I75" s="29">
        <v>10</v>
      </c>
      <c r="J75" s="70">
        <f t="shared" si="28"/>
        <v>0.7222222222222222</v>
      </c>
      <c r="K75" s="71">
        <f t="shared" si="28"/>
        <v>1.2222222222222223</v>
      </c>
      <c r="L75" s="71">
        <f t="shared" si="28"/>
        <v>0</v>
      </c>
      <c r="M75" s="95">
        <f t="shared" si="13"/>
        <v>1</v>
      </c>
      <c r="N75" s="95">
        <f t="shared" si="14"/>
        <v>0.6428571428571429</v>
      </c>
      <c r="O75" s="96">
        <f t="shared" si="15"/>
        <v>0.5555555555555556</v>
      </c>
      <c r="P75" s="95">
        <f t="shared" si="16"/>
        <v>1.2903225806451613</v>
      </c>
      <c r="Q75" s="95">
        <f t="shared" si="17"/>
        <v>0.8</v>
      </c>
      <c r="R75" s="96">
        <f t="shared" si="18"/>
        <v>0.4084507042253521</v>
      </c>
    </row>
    <row r="76" spans="1:18" s="58" customFormat="1" ht="16.5" customHeight="1" thickBot="1">
      <c r="A76" s="253" t="s">
        <v>189</v>
      </c>
      <c r="B76" s="512">
        <f t="shared" si="19"/>
        <v>5245</v>
      </c>
      <c r="C76" s="357">
        <f>SUM(C67:C75)</f>
        <v>3972</v>
      </c>
      <c r="D76" s="357">
        <f>SUM(D67:D75)</f>
        <v>4546</v>
      </c>
      <c r="E76" s="357">
        <f>SUM(E67:E75)</f>
        <v>4671</v>
      </c>
      <c r="F76" s="512">
        <f t="shared" si="20"/>
        <v>5871</v>
      </c>
      <c r="G76" s="357">
        <f>SUM(G67:G75)</f>
        <v>6893</v>
      </c>
      <c r="H76" s="357">
        <f>SUM(H67:H75)</f>
        <v>7519</v>
      </c>
      <c r="I76" s="357">
        <f>SUM(I67:I75)</f>
        <v>5245</v>
      </c>
      <c r="J76" s="517">
        <f t="shared" si="28"/>
        <v>0.7353977844914401</v>
      </c>
      <c r="K76" s="517">
        <f t="shared" si="28"/>
        <v>0.653981522217334</v>
      </c>
      <c r="L76" s="517">
        <f t="shared" si="28"/>
        <v>0.12288589167201884</v>
      </c>
      <c r="M76" s="518">
        <f t="shared" si="13"/>
        <v>1.1445115810674724</v>
      </c>
      <c r="N76" s="518">
        <f t="shared" si="14"/>
        <v>0.49321905175219705</v>
      </c>
      <c r="O76" s="519">
        <f t="shared" si="15"/>
        <v>1.1641230335759567</v>
      </c>
      <c r="P76" s="518">
        <f t="shared" si="16"/>
        <v>1.090816770636878</v>
      </c>
      <c r="Q76" s="518">
        <f t="shared" si="17"/>
        <v>0.5890786587276716</v>
      </c>
      <c r="R76" s="519">
        <f t="shared" si="18"/>
        <v>0.7713016930335831</v>
      </c>
    </row>
    <row r="77" spans="1:18" s="331" customFormat="1" ht="16.5" customHeight="1" thickTop="1">
      <c r="A77" s="67" t="s">
        <v>5</v>
      </c>
      <c r="B77" s="513">
        <f t="shared" si="19"/>
        <v>20569</v>
      </c>
      <c r="C77" s="259">
        <f>C44+C58+C66+C76</f>
        <v>25349</v>
      </c>
      <c r="D77" s="259">
        <f>D44+D58+D66+D76</f>
        <v>26765</v>
      </c>
      <c r="E77" s="259">
        <f>E44+E58+E66+E76</f>
        <v>19153</v>
      </c>
      <c r="F77" s="513">
        <f t="shared" si="20"/>
        <v>24699</v>
      </c>
      <c r="G77" s="259">
        <f>G44+G58+G66+G76</f>
        <v>30076</v>
      </c>
      <c r="H77" s="259">
        <f>H44+H58+H66+H76</f>
        <v>34208</v>
      </c>
      <c r="I77" s="259">
        <f>I44+I58+I66+I76</f>
        <v>20567</v>
      </c>
      <c r="J77" s="514">
        <f t="shared" si="28"/>
        <v>0.1864767840940471</v>
      </c>
      <c r="K77" s="514">
        <f>(H77-D77)/D77</f>
        <v>0.2780870539884177</v>
      </c>
      <c r="L77" s="514">
        <f>(I77-E77)/E77</f>
        <v>0.07382655458674882</v>
      </c>
      <c r="M77" s="515">
        <f t="shared" si="13"/>
        <v>1.0558601917235393</v>
      </c>
      <c r="N77" s="515">
        <f t="shared" si="14"/>
        <v>0.5828868853173048</v>
      </c>
      <c r="O77" s="516">
        <f t="shared" si="15"/>
        <v>0.7622136086272403</v>
      </c>
      <c r="P77" s="515">
        <f t="shared" si="16"/>
        <v>1.137385290597154</v>
      </c>
      <c r="Q77" s="515">
        <f t="shared" si="17"/>
        <v>0.624518484710178</v>
      </c>
      <c r="R77" s="516">
        <f t="shared" si="18"/>
        <v>0.7041565552859187</v>
      </c>
    </row>
    <row r="78" ht="12.75">
      <c r="A78" s="318" t="s">
        <v>479</v>
      </c>
    </row>
    <row r="79" ht="12.75">
      <c r="A79" s="55" t="s">
        <v>219</v>
      </c>
    </row>
    <row r="80" ht="12.75">
      <c r="A80" s="535" t="s">
        <v>459</v>
      </c>
    </row>
    <row r="81" ht="12.75">
      <c r="A81" s="55"/>
    </row>
    <row r="82" ht="12.75">
      <c r="A82" s="56"/>
    </row>
    <row r="86" ht="12.75">
      <c r="A86" s="57"/>
    </row>
    <row r="87" ht="12.75">
      <c r="A87" s="57"/>
    </row>
    <row r="88" ht="12.75">
      <c r="A88" s="13"/>
    </row>
    <row r="91" ht="12.75">
      <c r="A91" s="13"/>
    </row>
    <row r="95" ht="12.75">
      <c r="A95" s="13"/>
    </row>
  </sheetData>
  <sheetProtection/>
  <mergeCells count="22">
    <mergeCell ref="M3:O3"/>
    <mergeCell ref="A35:R35"/>
    <mergeCell ref="J9:L9"/>
    <mergeCell ref="B9:E9"/>
    <mergeCell ref="M36:O36"/>
    <mergeCell ref="A33:G33"/>
    <mergeCell ref="P9:R9"/>
    <mergeCell ref="A1:L1"/>
    <mergeCell ref="B36:E36"/>
    <mergeCell ref="J36:L36"/>
    <mergeCell ref="B3:E3"/>
    <mergeCell ref="J3:L3"/>
    <mergeCell ref="M9:O9"/>
    <mergeCell ref="F36:I36"/>
    <mergeCell ref="A36:A37"/>
    <mergeCell ref="A8:R8"/>
    <mergeCell ref="F9:I9"/>
    <mergeCell ref="A3:A4"/>
    <mergeCell ref="P3:R3"/>
    <mergeCell ref="F3:I3"/>
    <mergeCell ref="A9:A10"/>
    <mergeCell ref="P36:R36"/>
  </mergeCells>
  <printOptions/>
  <pageMargins left="0" right="0" top="0" bottom="0" header="0" footer="0"/>
  <pageSetup fitToHeight="2" horizontalDpi="600" verticalDpi="600" orientation="landscape" paperSize="9" scale="96" r:id="rId3"/>
  <rowBreaks count="1" manualBreakCount="1">
    <brk id="62" max="255" man="1"/>
  </rowBreaks>
  <legacyDrawing r:id="rId2"/>
</worksheet>
</file>

<file path=xl/worksheets/sheet20.xml><?xml version="1.0" encoding="utf-8"?>
<worksheet xmlns="http://schemas.openxmlformats.org/spreadsheetml/2006/main" xmlns:r="http://schemas.openxmlformats.org/officeDocument/2006/relationships">
  <dimension ref="A1:L23"/>
  <sheetViews>
    <sheetView zoomScalePageLayoutView="0" workbookViewId="0" topLeftCell="A1">
      <selection activeCell="F41" sqref="F41"/>
    </sheetView>
  </sheetViews>
  <sheetFormatPr defaultColWidth="9.140625" defaultRowHeight="12.75"/>
  <cols>
    <col min="1" max="1" width="48.421875" style="0" customWidth="1"/>
    <col min="2" max="2" width="47.28125" style="0" customWidth="1"/>
    <col min="3" max="4" width="6.57421875" style="0" customWidth="1"/>
  </cols>
  <sheetData>
    <row r="1" spans="1:12" ht="36" customHeight="1">
      <c r="A1" s="842" t="s">
        <v>423</v>
      </c>
      <c r="B1" s="842"/>
      <c r="C1" s="842"/>
      <c r="D1" s="842"/>
      <c r="E1" s="842"/>
      <c r="F1" s="842"/>
      <c r="G1" s="842"/>
      <c r="H1" s="842"/>
      <c r="I1" s="842"/>
      <c r="J1" s="842"/>
      <c r="K1" s="842"/>
      <c r="L1" s="842"/>
    </row>
    <row r="4" spans="1:2" ht="12.75">
      <c r="A4" s="846" t="s">
        <v>424</v>
      </c>
      <c r="B4" s="846" t="s">
        <v>1</v>
      </c>
    </row>
    <row r="5" spans="1:2" ht="12.75">
      <c r="A5" s="847"/>
      <c r="B5" s="847"/>
    </row>
    <row r="6" spans="1:2" ht="12.75">
      <c r="A6" s="465" t="s">
        <v>425</v>
      </c>
      <c r="B6" s="465">
        <v>212</v>
      </c>
    </row>
    <row r="7" spans="1:2" ht="12.75">
      <c r="A7" s="465" t="s">
        <v>426</v>
      </c>
      <c r="B7" s="465">
        <v>127</v>
      </c>
    </row>
    <row r="8" spans="1:2" ht="12.75">
      <c r="A8" s="465" t="s">
        <v>427</v>
      </c>
      <c r="B8" s="465">
        <v>114</v>
      </c>
    </row>
    <row r="9" spans="1:2" ht="12.75">
      <c r="A9" s="465" t="s">
        <v>428</v>
      </c>
      <c r="B9" s="465">
        <v>76</v>
      </c>
    </row>
    <row r="10" spans="1:2" ht="12.75">
      <c r="A10" s="465" t="s">
        <v>429</v>
      </c>
      <c r="B10" s="465">
        <v>62</v>
      </c>
    </row>
    <row r="11" spans="1:2" ht="12.75">
      <c r="A11" s="465" t="s">
        <v>430</v>
      </c>
      <c r="B11" s="465">
        <v>57</v>
      </c>
    </row>
    <row r="12" spans="1:2" ht="12.75">
      <c r="A12" s="465" t="s">
        <v>431</v>
      </c>
      <c r="B12" s="465">
        <v>51</v>
      </c>
    </row>
    <row r="13" spans="1:2" ht="12.75">
      <c r="A13" s="465" t="s">
        <v>432</v>
      </c>
      <c r="B13" s="465">
        <v>29</v>
      </c>
    </row>
    <row r="14" spans="1:2" ht="12.75">
      <c r="A14" s="465" t="s">
        <v>433</v>
      </c>
      <c r="B14" s="465">
        <v>27</v>
      </c>
    </row>
    <row r="15" spans="1:2" ht="12.75">
      <c r="A15" s="465" t="s">
        <v>434</v>
      </c>
      <c r="B15" s="465">
        <v>13</v>
      </c>
    </row>
    <row r="16" spans="1:2" ht="12.75">
      <c r="A16" s="465" t="s">
        <v>435</v>
      </c>
      <c r="B16" s="465">
        <v>10</v>
      </c>
    </row>
    <row r="17" spans="1:2" ht="12.75">
      <c r="A17" s="465" t="s">
        <v>436</v>
      </c>
      <c r="B17" s="465">
        <v>5</v>
      </c>
    </row>
    <row r="18" spans="1:2" ht="12.75">
      <c r="A18" s="465" t="s">
        <v>437</v>
      </c>
      <c r="B18" s="465">
        <v>4</v>
      </c>
    </row>
    <row r="19" spans="1:2" ht="12.75">
      <c r="A19" s="465" t="s">
        <v>438</v>
      </c>
      <c r="B19" s="465">
        <v>2</v>
      </c>
    </row>
    <row r="20" spans="1:2" ht="12.75">
      <c r="A20" s="465" t="s">
        <v>439</v>
      </c>
      <c r="B20" s="465">
        <v>0</v>
      </c>
    </row>
    <row r="22" ht="12.75">
      <c r="A22" s="483" t="s">
        <v>420</v>
      </c>
    </row>
    <row r="23" ht="12.75">
      <c r="A23" s="483" t="s">
        <v>421</v>
      </c>
    </row>
  </sheetData>
  <sheetProtection/>
  <mergeCells count="3">
    <mergeCell ref="A1:L1"/>
    <mergeCell ref="A4:A5"/>
    <mergeCell ref="B4:B5"/>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M37"/>
  <sheetViews>
    <sheetView zoomScalePageLayoutView="0" workbookViewId="0" topLeftCell="A1">
      <selection activeCell="D17" sqref="D17"/>
    </sheetView>
  </sheetViews>
  <sheetFormatPr defaultColWidth="9.140625" defaultRowHeight="12.75"/>
  <cols>
    <col min="1" max="1" width="60.421875" style="0" customWidth="1"/>
    <col min="2" max="2" width="22.28125" style="0" customWidth="1"/>
    <col min="3" max="3" width="8.57421875" style="0" customWidth="1"/>
    <col min="4" max="5" width="18.28125" style="0" customWidth="1"/>
    <col min="6" max="6" width="7.7109375" style="0" customWidth="1"/>
    <col min="7" max="7" width="9.8515625" style="0" customWidth="1"/>
    <col min="8" max="8" width="14.7109375" style="0" customWidth="1"/>
    <col min="9" max="9" width="7.140625" style="0" customWidth="1"/>
    <col min="10" max="10" width="18.28125" style="0" customWidth="1"/>
    <col min="11" max="12" width="41.8515625" style="0" customWidth="1"/>
    <col min="13" max="14" width="41.8515625" style="0" bestFit="1" customWidth="1"/>
    <col min="15" max="15" width="41.8515625" style="0" customWidth="1"/>
    <col min="16" max="16" width="47.8515625" style="0" bestFit="1" customWidth="1"/>
    <col min="17" max="17" width="28.421875" style="0" customWidth="1"/>
    <col min="18" max="18" width="42.140625" style="0" bestFit="1" customWidth="1"/>
    <col min="19" max="19" width="28.57421875" style="0" bestFit="1" customWidth="1"/>
    <col min="20" max="20" width="28.57421875" style="0" customWidth="1"/>
    <col min="21" max="22" width="28.57421875" style="0" bestFit="1" customWidth="1"/>
    <col min="23" max="24" width="28.57421875" style="0" customWidth="1"/>
    <col min="25" max="31" width="28.57421875" style="0" bestFit="1" customWidth="1"/>
    <col min="32" max="32" width="28.57421875" style="0" customWidth="1"/>
    <col min="33" max="33" width="28.57421875" style="0" bestFit="1" customWidth="1"/>
    <col min="34" max="34" width="28.57421875" style="0" customWidth="1"/>
    <col min="35" max="36" width="28.57421875" style="0" bestFit="1" customWidth="1"/>
    <col min="37" max="37" width="28.57421875" style="0" customWidth="1"/>
    <col min="38" max="38" width="28.57421875" style="0" bestFit="1" customWidth="1"/>
    <col min="39" max="39" width="28.57421875" style="0" customWidth="1"/>
    <col min="40" max="40" width="28.57421875" style="0" bestFit="1" customWidth="1"/>
    <col min="41" max="41" width="28.57421875" style="0" customWidth="1"/>
    <col min="42" max="43" width="28.57421875" style="0" bestFit="1" customWidth="1"/>
    <col min="44" max="50" width="28.57421875" style="0" customWidth="1"/>
    <col min="51" max="51" width="28.57421875" style="0" bestFit="1" customWidth="1"/>
    <col min="52" max="54" width="28.57421875" style="0" customWidth="1"/>
    <col min="55" max="55" width="28.57421875" style="0" bestFit="1" customWidth="1"/>
    <col min="56" max="58" width="28.57421875" style="0" customWidth="1"/>
    <col min="59" max="62" width="28.57421875" style="0" bestFit="1" customWidth="1"/>
    <col min="63" max="63" width="28.57421875" style="0" customWidth="1"/>
    <col min="64" max="64" width="28.57421875" style="0" bestFit="1" customWidth="1"/>
    <col min="65" max="68" width="28.57421875" style="0" customWidth="1"/>
    <col min="69" max="69" width="28.57421875" style="0" bestFit="1" customWidth="1"/>
    <col min="70" max="73" width="28.57421875" style="0" customWidth="1"/>
    <col min="74" max="76" width="28.57421875" style="0" bestFit="1" customWidth="1"/>
    <col min="77" max="79" width="28.57421875" style="0" customWidth="1"/>
    <col min="80" max="80" width="28.57421875" style="0" bestFit="1" customWidth="1"/>
    <col min="81" max="81" width="28.57421875" style="0" customWidth="1"/>
    <col min="82" max="83" width="28.57421875" style="0" bestFit="1" customWidth="1"/>
    <col min="84" max="84" width="28.57421875" style="0" customWidth="1"/>
    <col min="85" max="86" width="28.57421875" style="0" bestFit="1" customWidth="1"/>
    <col min="87" max="89" width="28.57421875" style="0" customWidth="1"/>
    <col min="90" max="90" width="28.57421875" style="0" bestFit="1" customWidth="1"/>
    <col min="91" max="93" width="28.57421875" style="0" customWidth="1"/>
    <col min="94" max="94" width="28.57421875" style="0" bestFit="1" customWidth="1"/>
    <col min="95" max="96" width="28.57421875" style="0" customWidth="1"/>
    <col min="97" max="97" width="28.57421875" style="0" bestFit="1" customWidth="1"/>
    <col min="98" max="105" width="28.57421875" style="0" customWidth="1"/>
    <col min="106" max="107" width="28.57421875" style="0" bestFit="1" customWidth="1"/>
    <col min="108" max="109" width="28.57421875" style="0" customWidth="1"/>
    <col min="110" max="111" width="28.57421875" style="0" bestFit="1" customWidth="1"/>
    <col min="112" max="113" width="28.57421875" style="0" customWidth="1"/>
    <col min="114" max="116" width="28.57421875" style="0" bestFit="1" customWidth="1"/>
    <col min="117" max="119" width="28.57421875" style="0" customWidth="1"/>
    <col min="120" max="121" width="28.57421875" style="0" bestFit="1" customWidth="1"/>
    <col min="122" max="122" width="28.57421875" style="0" customWidth="1"/>
    <col min="123" max="124" width="28.57421875" style="0" bestFit="1" customWidth="1"/>
    <col min="125" max="125" width="28.57421875" style="0" customWidth="1"/>
    <col min="126" max="128" width="28.57421875" style="0" bestFit="1" customWidth="1"/>
    <col min="129" max="132" width="28.57421875" style="0" customWidth="1"/>
    <col min="133" max="134" width="28.57421875" style="0" bestFit="1" customWidth="1"/>
    <col min="135" max="135" width="28.57421875" style="0" customWidth="1"/>
    <col min="136" max="138" width="28.57421875" style="0" bestFit="1" customWidth="1"/>
    <col min="139" max="139" width="28.57421875" style="0" customWidth="1"/>
    <col min="140" max="140" width="28.57421875" style="0" bestFit="1" customWidth="1"/>
    <col min="141" max="142" width="28.57421875" style="0" customWidth="1"/>
    <col min="143" max="143" width="28.57421875" style="0" bestFit="1" customWidth="1"/>
    <col min="144" max="144" width="28.57421875" style="0" customWidth="1"/>
    <col min="145" max="146" width="28.57421875" style="0" bestFit="1" customWidth="1"/>
    <col min="147" max="153" width="28.57421875" style="0" customWidth="1"/>
    <col min="154" max="154" width="28.57421875" style="0" bestFit="1" customWidth="1"/>
    <col min="155" max="158" width="28.57421875" style="0" customWidth="1"/>
    <col min="159" max="159" width="28.57421875" style="0" bestFit="1" customWidth="1"/>
    <col min="160" max="161" width="28.57421875" style="0" customWidth="1"/>
    <col min="162" max="162" width="28.57421875" style="0" bestFit="1" customWidth="1"/>
    <col min="163" max="163" width="28.57421875" style="0" customWidth="1"/>
    <col min="164" max="164" width="28.57421875" style="0" bestFit="1" customWidth="1"/>
    <col min="165" max="165" width="28.57421875" style="0" customWidth="1"/>
    <col min="166" max="166" width="28.57421875" style="0" bestFit="1" customWidth="1"/>
    <col min="167" max="168" width="18.28125" style="0" bestFit="1" customWidth="1"/>
  </cols>
  <sheetData>
    <row r="1" spans="1:13" ht="40.5" customHeight="1">
      <c r="A1" s="842" t="s">
        <v>440</v>
      </c>
      <c r="B1" s="842"/>
      <c r="C1" s="842"/>
      <c r="D1" s="842"/>
      <c r="E1" s="842"/>
      <c r="F1" s="842"/>
      <c r="G1" s="842"/>
      <c r="H1" s="842"/>
      <c r="I1" s="842"/>
      <c r="J1" s="842"/>
      <c r="K1" s="842"/>
      <c r="L1" s="842"/>
      <c r="M1" s="842"/>
    </row>
    <row r="2" spans="1:13" ht="15.75">
      <c r="A2" s="851" t="s">
        <v>441</v>
      </c>
      <c r="B2" s="851"/>
      <c r="C2" s="463"/>
      <c r="D2" s="463"/>
      <c r="E2" s="463"/>
      <c r="F2" s="463"/>
      <c r="G2" s="463"/>
      <c r="H2" s="463"/>
      <c r="I2" s="463"/>
      <c r="J2" s="463"/>
      <c r="K2" s="463"/>
      <c r="L2" s="463"/>
      <c r="M2" s="463"/>
    </row>
    <row r="3" spans="2:13" ht="15.75">
      <c r="B3" s="852" t="s">
        <v>393</v>
      </c>
      <c r="C3" s="852"/>
      <c r="D3" s="852"/>
      <c r="H3" s="463"/>
      <c r="I3" s="463"/>
      <c r="J3" s="463"/>
      <c r="K3" s="463"/>
      <c r="L3" s="463"/>
      <c r="M3" s="463"/>
    </row>
    <row r="4" spans="1:4" ht="12.75">
      <c r="A4" s="846" t="s">
        <v>442</v>
      </c>
      <c r="B4" s="853" t="s">
        <v>133</v>
      </c>
      <c r="C4" s="853" t="s">
        <v>135</v>
      </c>
      <c r="D4" s="853" t="s">
        <v>443</v>
      </c>
    </row>
    <row r="5" spans="1:4" ht="12.75">
      <c r="A5" s="847" t="s">
        <v>444</v>
      </c>
      <c r="B5" s="854"/>
      <c r="C5" s="854"/>
      <c r="D5" s="854"/>
    </row>
    <row r="6" spans="1:9" ht="12.75">
      <c r="A6" s="465" t="s">
        <v>444</v>
      </c>
      <c r="B6" s="485">
        <v>0.10884353741496598</v>
      </c>
      <c r="C6" s="485">
        <v>0.2457627118644068</v>
      </c>
      <c r="D6" s="485">
        <v>0.16981132075471697</v>
      </c>
      <c r="E6" s="486"/>
      <c r="F6" s="486"/>
      <c r="G6" s="486"/>
      <c r="H6" s="486"/>
      <c r="I6" s="486"/>
    </row>
    <row r="7" spans="1:9" ht="12.75">
      <c r="A7" s="465" t="s">
        <v>445</v>
      </c>
      <c r="B7" s="485">
        <v>0.8299319727891157</v>
      </c>
      <c r="C7" s="485">
        <v>0.7203389830508474</v>
      </c>
      <c r="D7" s="485">
        <v>0.7811320754716982</v>
      </c>
      <c r="E7" s="486"/>
      <c r="F7" s="486"/>
      <c r="G7" s="486"/>
      <c r="H7" s="486"/>
      <c r="I7" s="486"/>
    </row>
    <row r="8" spans="1:9" ht="12.75">
      <c r="A8" s="465" t="s">
        <v>446</v>
      </c>
      <c r="B8" s="485">
        <v>0.034013605442176874</v>
      </c>
      <c r="C8" s="485">
        <v>0.00847457627118644</v>
      </c>
      <c r="D8" s="485">
        <v>0.022641509433962263</v>
      </c>
      <c r="E8" s="486"/>
      <c r="F8" s="486"/>
      <c r="G8" s="486"/>
      <c r="H8" s="486"/>
      <c r="I8" s="486"/>
    </row>
    <row r="9" spans="1:9" ht="12.75">
      <c r="A9" s="465" t="s">
        <v>447</v>
      </c>
      <c r="B9" s="485">
        <v>0.027210884353741496</v>
      </c>
      <c r="C9" s="485">
        <v>0.025423728813559324</v>
      </c>
      <c r="D9" s="485">
        <v>0.026415094339622643</v>
      </c>
      <c r="E9" s="486"/>
      <c r="F9" s="486"/>
      <c r="G9" s="486"/>
      <c r="H9" s="486"/>
      <c r="I9" s="486"/>
    </row>
    <row r="10" spans="1:9" s="469" customFormat="1" ht="15">
      <c r="A10" s="467" t="s">
        <v>448</v>
      </c>
      <c r="B10" s="487">
        <v>0.5547169811320755</v>
      </c>
      <c r="C10" s="487">
        <v>0.44528301886792454</v>
      </c>
      <c r="D10" s="487">
        <v>1</v>
      </c>
      <c r="E10" s="488"/>
      <c r="F10" s="488"/>
      <c r="G10" s="488"/>
      <c r="H10" s="488"/>
      <c r="I10" s="488"/>
    </row>
    <row r="11" ht="12.75">
      <c r="A11" s="483" t="s">
        <v>419</v>
      </c>
    </row>
    <row r="12" ht="12.75">
      <c r="A12" s="483" t="s">
        <v>420</v>
      </c>
    </row>
    <row r="13" ht="12.75">
      <c r="A13" s="483" t="s">
        <v>421</v>
      </c>
    </row>
    <row r="14" ht="12.75">
      <c r="A14" s="483"/>
    </row>
    <row r="15" ht="12.75">
      <c r="A15" s="483"/>
    </row>
    <row r="16" spans="1:13" ht="40.5" customHeight="1">
      <c r="A16" s="842" t="s">
        <v>449</v>
      </c>
      <c r="B16" s="842"/>
      <c r="C16" s="842"/>
      <c r="D16" s="842"/>
      <c r="E16" s="842"/>
      <c r="F16" s="842"/>
      <c r="G16" s="842"/>
      <c r="H16" s="842"/>
      <c r="I16" s="842"/>
      <c r="J16" s="842"/>
      <c r="K16" s="842"/>
      <c r="L16" s="842"/>
      <c r="M16" s="842"/>
    </row>
    <row r="17" spans="1:13" ht="15.75">
      <c r="A17" s="851" t="s">
        <v>441</v>
      </c>
      <c r="B17" s="851"/>
      <c r="C17" s="463"/>
      <c r="D17" s="463"/>
      <c r="E17" s="463"/>
      <c r="F17" s="463"/>
      <c r="G17" s="463"/>
      <c r="H17" s="463"/>
      <c r="I17" s="463"/>
      <c r="J17" s="463"/>
      <c r="K17" s="463"/>
      <c r="L17" s="463"/>
      <c r="M17" s="463"/>
    </row>
    <row r="18" spans="1:13" ht="15.75">
      <c r="A18" s="489"/>
      <c r="B18" s="489"/>
      <c r="C18" s="463"/>
      <c r="D18" s="463"/>
      <c r="E18" s="463"/>
      <c r="F18" s="463"/>
      <c r="G18" s="463"/>
      <c r="H18" s="463"/>
      <c r="I18" s="463"/>
      <c r="J18" s="463"/>
      <c r="K18" s="463"/>
      <c r="L18" s="463"/>
      <c r="M18" s="463"/>
    </row>
    <row r="19" spans="1:2" ht="12.75">
      <c r="A19" s="846" t="s">
        <v>442</v>
      </c>
      <c r="B19" s="857" t="s">
        <v>450</v>
      </c>
    </row>
    <row r="20" spans="1:2" ht="12.75">
      <c r="A20" s="847"/>
      <c r="B20" s="858"/>
    </row>
    <row r="21" spans="1:2" ht="12.75">
      <c r="A21" s="490" t="s">
        <v>444</v>
      </c>
      <c r="B21" s="491">
        <v>55.71111111111111</v>
      </c>
    </row>
    <row r="22" spans="1:2" ht="12.75">
      <c r="A22" s="490" t="s">
        <v>445</v>
      </c>
      <c r="B22" s="491">
        <v>38.227053140096615</v>
      </c>
    </row>
    <row r="23" spans="1:2" ht="12.75">
      <c r="A23" s="490" t="s">
        <v>446</v>
      </c>
      <c r="B23" s="491">
        <v>62.333333333333336</v>
      </c>
    </row>
    <row r="24" spans="1:2" ht="12.75">
      <c r="A24" s="490" t="s">
        <v>447</v>
      </c>
      <c r="B24" s="491">
        <v>30.571428571428573</v>
      </c>
    </row>
    <row r="25" ht="12.75">
      <c r="A25" s="483" t="s">
        <v>420</v>
      </c>
    </row>
    <row r="26" spans="1:2" ht="12.75">
      <c r="A26" s="483" t="s">
        <v>421</v>
      </c>
      <c r="B26" s="492"/>
    </row>
    <row r="27" spans="1:2" ht="12.75">
      <c r="A27" s="493"/>
      <c r="B27" s="492"/>
    </row>
    <row r="28" spans="1:13" ht="40.5" customHeight="1">
      <c r="A28" s="842" t="s">
        <v>451</v>
      </c>
      <c r="B28" s="842"/>
      <c r="C28" s="842"/>
      <c r="D28" s="842"/>
      <c r="E28" s="842"/>
      <c r="F28" s="842"/>
      <c r="G28" s="842"/>
      <c r="H28" s="842"/>
      <c r="I28" s="842"/>
      <c r="J28" s="842"/>
      <c r="K28" s="842"/>
      <c r="L28" s="842"/>
      <c r="M28" s="842"/>
    </row>
    <row r="29" spans="1:13" ht="15.75">
      <c r="A29" s="851" t="s">
        <v>441</v>
      </c>
      <c r="B29" s="851"/>
      <c r="C29" s="463"/>
      <c r="D29" s="463"/>
      <c r="E29" s="463"/>
      <c r="F29" s="463"/>
      <c r="G29" s="463"/>
      <c r="H29" s="463"/>
      <c r="I29" s="463"/>
      <c r="J29" s="463"/>
      <c r="K29" s="463"/>
      <c r="L29" s="463"/>
      <c r="M29" s="463"/>
    </row>
    <row r="30" spans="2:7" ht="15">
      <c r="B30" s="852" t="s">
        <v>393</v>
      </c>
      <c r="C30" s="852"/>
      <c r="D30" s="852"/>
      <c r="G30" s="494"/>
    </row>
    <row r="31" spans="1:5" ht="12.75">
      <c r="A31" s="855" t="s">
        <v>452</v>
      </c>
      <c r="B31" s="856" t="s">
        <v>133</v>
      </c>
      <c r="C31" s="856" t="s">
        <v>135</v>
      </c>
      <c r="D31" s="856" t="s">
        <v>453</v>
      </c>
      <c r="E31" s="494"/>
    </row>
    <row r="32" spans="1:4" ht="12.75">
      <c r="A32" s="855" t="s">
        <v>454</v>
      </c>
      <c r="B32" s="856"/>
      <c r="C32" s="856"/>
      <c r="D32" s="856"/>
    </row>
    <row r="33" spans="1:9" ht="12.75">
      <c r="A33" s="490" t="s">
        <v>454</v>
      </c>
      <c r="B33" s="485">
        <v>0.7894736842105263</v>
      </c>
      <c r="C33" s="485">
        <v>0.5882352941176471</v>
      </c>
      <c r="D33" s="485">
        <v>0.660377358490566</v>
      </c>
      <c r="E33" s="486"/>
      <c r="F33" s="486"/>
      <c r="G33" s="486"/>
      <c r="H33" s="486"/>
      <c r="I33" s="486"/>
    </row>
    <row r="34" spans="1:10" ht="12.75">
      <c r="A34" s="490" t="s">
        <v>455</v>
      </c>
      <c r="B34" s="495">
        <v>0.125</v>
      </c>
      <c r="C34" s="495">
        <v>0.3103448275862069</v>
      </c>
      <c r="D34" s="495">
        <v>0.24444444444444444</v>
      </c>
      <c r="E34" s="496"/>
      <c r="F34" s="496"/>
      <c r="G34" s="496"/>
      <c r="H34" s="496"/>
      <c r="I34" s="496"/>
      <c r="J34" s="494"/>
    </row>
    <row r="35" spans="1:10" ht="12.75">
      <c r="A35" s="483" t="s">
        <v>419</v>
      </c>
      <c r="B35" s="496"/>
      <c r="C35" s="496"/>
      <c r="D35" s="496"/>
      <c r="E35" s="494"/>
      <c r="F35" s="494"/>
      <c r="G35" s="494"/>
      <c r="H35" s="494"/>
      <c r="I35" s="494"/>
      <c r="J35" s="494"/>
    </row>
    <row r="36" spans="1:10" ht="12.75">
      <c r="A36" s="483" t="s">
        <v>420</v>
      </c>
      <c r="B36" s="494"/>
      <c r="C36" s="494"/>
      <c r="D36" s="494"/>
      <c r="E36" s="494"/>
      <c r="F36" s="494"/>
      <c r="G36" s="494"/>
      <c r="H36" s="494"/>
      <c r="I36" s="494"/>
      <c r="J36" s="494"/>
    </row>
    <row r="37" ht="12.75">
      <c r="A37" s="483" t="s">
        <v>421</v>
      </c>
    </row>
  </sheetData>
  <sheetProtection/>
  <mergeCells count="18">
    <mergeCell ref="B30:D30"/>
    <mergeCell ref="A31:A32"/>
    <mergeCell ref="B31:B32"/>
    <mergeCell ref="C31:C32"/>
    <mergeCell ref="D31:D32"/>
    <mergeCell ref="A16:M16"/>
    <mergeCell ref="A17:B17"/>
    <mergeCell ref="A19:A20"/>
    <mergeCell ref="B19:B20"/>
    <mergeCell ref="A28:M28"/>
    <mergeCell ref="A29:B29"/>
    <mergeCell ref="A1:M1"/>
    <mergeCell ref="A2:B2"/>
    <mergeCell ref="B3:D3"/>
    <mergeCell ref="A4:A5"/>
    <mergeCell ref="B4:B5"/>
    <mergeCell ref="C4:C5"/>
    <mergeCell ref="D4:D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M100"/>
  <sheetViews>
    <sheetView zoomScaleSheetLayoutView="100" zoomScalePageLayoutView="0" workbookViewId="0" topLeftCell="A1">
      <selection activeCell="L84" sqref="L84"/>
    </sheetView>
  </sheetViews>
  <sheetFormatPr defaultColWidth="9.140625" defaultRowHeight="12.75"/>
  <cols>
    <col min="1" max="1" width="24.421875" style="58" customWidth="1"/>
    <col min="2" max="2" width="8.7109375" style="60" customWidth="1"/>
    <col min="3" max="3" width="8.140625" style="60" customWidth="1"/>
    <col min="4" max="4" width="8.7109375" style="60" customWidth="1"/>
    <col min="5" max="5" width="9.28125" style="60" customWidth="1"/>
    <col min="6" max="6" width="9.421875" style="60" customWidth="1"/>
    <col min="7" max="7" width="8.8515625" style="60" customWidth="1"/>
    <col min="8" max="10" width="7.8515625" style="60" customWidth="1"/>
    <col min="11" max="16384" width="9.140625" style="12" customWidth="1"/>
  </cols>
  <sheetData>
    <row r="1" spans="1:10" s="26" customFormat="1" ht="33.75" customHeight="1">
      <c r="A1" s="742" t="s">
        <v>369</v>
      </c>
      <c r="B1" s="743"/>
      <c r="C1" s="743"/>
      <c r="D1" s="743"/>
      <c r="E1" s="743"/>
      <c r="F1" s="743"/>
      <c r="G1" s="743"/>
      <c r="H1" s="743"/>
      <c r="I1" s="743"/>
      <c r="J1" s="743"/>
    </row>
    <row r="2" spans="1:10" s="58" customFormat="1" ht="35.25" customHeight="1">
      <c r="A2" s="738" t="s">
        <v>37</v>
      </c>
      <c r="B2" s="732" t="s">
        <v>365</v>
      </c>
      <c r="C2" s="721"/>
      <c r="D2" s="722"/>
      <c r="E2" s="721" t="s">
        <v>298</v>
      </c>
      <c r="F2" s="721"/>
      <c r="G2" s="722"/>
      <c r="H2" s="737" t="s">
        <v>368</v>
      </c>
      <c r="I2" s="730"/>
      <c r="J2" s="731"/>
    </row>
    <row r="3" spans="1:10" s="58" customFormat="1" ht="21.75" customHeight="1" thickBot="1">
      <c r="A3" s="739"/>
      <c r="B3" s="237" t="s">
        <v>1</v>
      </c>
      <c r="C3" s="238" t="s">
        <v>2</v>
      </c>
      <c r="D3" s="238" t="s">
        <v>3</v>
      </c>
      <c r="E3" s="237" t="s">
        <v>1</v>
      </c>
      <c r="F3" s="238" t="s">
        <v>2</v>
      </c>
      <c r="G3" s="238" t="s">
        <v>3</v>
      </c>
      <c r="H3" s="238" t="s">
        <v>1</v>
      </c>
      <c r="I3" s="238" t="s">
        <v>2</v>
      </c>
      <c r="J3" s="238" t="s">
        <v>3</v>
      </c>
    </row>
    <row r="4" spans="1:10" s="59" customFormat="1" ht="27" customHeight="1" thickTop="1">
      <c r="A4" s="236" t="s">
        <v>137</v>
      </c>
      <c r="B4" s="353">
        <v>3668</v>
      </c>
      <c r="C4" s="353">
        <v>4330</v>
      </c>
      <c r="D4" s="353">
        <v>12823</v>
      </c>
      <c r="E4" s="353">
        <v>3632</v>
      </c>
      <c r="F4" s="353">
        <v>5188</v>
      </c>
      <c r="G4" s="353">
        <v>13487</v>
      </c>
      <c r="H4" s="241">
        <f aca="true" t="shared" si="0" ref="H4:J5">IF(B4&gt;0,(E4-B4)/B4," ")</f>
        <v>-0.009814612868047983</v>
      </c>
      <c r="I4" s="241">
        <f t="shared" si="0"/>
        <v>0.1981524249422633</v>
      </c>
      <c r="J4" s="241">
        <f t="shared" si="0"/>
        <v>0.05178195430086563</v>
      </c>
    </row>
    <row r="5" spans="1:10" s="58" customFormat="1" ht="27" customHeight="1" thickBot="1">
      <c r="A5" s="62" t="s">
        <v>138</v>
      </c>
      <c r="B5" s="354">
        <v>2032</v>
      </c>
      <c r="C5" s="354">
        <v>1534</v>
      </c>
      <c r="D5" s="354">
        <v>3605</v>
      </c>
      <c r="E5" s="354">
        <v>1539</v>
      </c>
      <c r="F5" s="354">
        <v>1692</v>
      </c>
      <c r="G5" s="354">
        <v>3107</v>
      </c>
      <c r="H5" s="241">
        <f t="shared" si="0"/>
        <v>-0.24261811023622049</v>
      </c>
      <c r="I5" s="241">
        <f t="shared" si="0"/>
        <v>0.10299869621903521</v>
      </c>
      <c r="J5" s="241">
        <f t="shared" si="0"/>
        <v>-0.13814147018030512</v>
      </c>
    </row>
    <row r="6" spans="1:10" s="89" customFormat="1" ht="16.5" customHeight="1" thickTop="1">
      <c r="A6" s="82"/>
      <c r="B6" s="84"/>
      <c r="C6" s="84"/>
      <c r="D6" s="84"/>
      <c r="E6" s="84"/>
      <c r="F6" s="84"/>
      <c r="G6" s="85"/>
      <c r="H6" s="86"/>
      <c r="I6" s="86"/>
      <c r="J6" s="86"/>
    </row>
    <row r="7" spans="1:10" s="58" customFormat="1" ht="36" customHeight="1">
      <c r="A7" s="740" t="s">
        <v>481</v>
      </c>
      <c r="B7" s="741"/>
      <c r="C7" s="741"/>
      <c r="D7" s="741"/>
      <c r="E7" s="741"/>
      <c r="F7" s="741"/>
      <c r="G7" s="741"/>
      <c r="H7" s="741"/>
      <c r="I7" s="741"/>
      <c r="J7" s="741"/>
    </row>
    <row r="8" spans="1:10" s="58" customFormat="1" ht="41.25" customHeight="1">
      <c r="A8" s="738" t="s">
        <v>37</v>
      </c>
      <c r="B8" s="732" t="s">
        <v>365</v>
      </c>
      <c r="C8" s="721"/>
      <c r="D8" s="722"/>
      <c r="E8" s="732" t="s">
        <v>298</v>
      </c>
      <c r="F8" s="721"/>
      <c r="G8" s="722"/>
      <c r="H8" s="737" t="s">
        <v>368</v>
      </c>
      <c r="I8" s="730"/>
      <c r="J8" s="731"/>
    </row>
    <row r="9" spans="1:10" s="58" customFormat="1" ht="21.75" customHeight="1" thickBot="1">
      <c r="A9" s="739"/>
      <c r="B9" s="237" t="s">
        <v>1</v>
      </c>
      <c r="C9" s="238" t="s">
        <v>2</v>
      </c>
      <c r="D9" s="238" t="s">
        <v>3</v>
      </c>
      <c r="E9" s="237" t="s">
        <v>1</v>
      </c>
      <c r="F9" s="238" t="s">
        <v>2</v>
      </c>
      <c r="G9" s="238" t="s">
        <v>3</v>
      </c>
      <c r="H9" s="238" t="s">
        <v>1</v>
      </c>
      <c r="I9" s="238" t="s">
        <v>2</v>
      </c>
      <c r="J9" s="238" t="s">
        <v>3</v>
      </c>
    </row>
    <row r="10" spans="1:13" s="90" customFormat="1" ht="16.5" customHeight="1" thickTop="1">
      <c r="A10" s="230" t="s">
        <v>139</v>
      </c>
      <c r="B10" s="355">
        <v>7444</v>
      </c>
      <c r="C10" s="355">
        <v>6093</v>
      </c>
      <c r="D10" s="355">
        <v>10190</v>
      </c>
      <c r="E10" s="355">
        <v>5381</v>
      </c>
      <c r="F10" s="355">
        <v>5207</v>
      </c>
      <c r="G10" s="355">
        <v>8839</v>
      </c>
      <c r="H10" s="241">
        <v>-0.27713594841483075</v>
      </c>
      <c r="I10" s="241">
        <v>-0.14541276875102577</v>
      </c>
      <c r="J10" s="241">
        <v>-0.1325809617271835</v>
      </c>
      <c r="K10" s="58"/>
      <c r="L10" s="58"/>
      <c r="M10" s="58"/>
    </row>
    <row r="11" spans="1:10" s="58" customFormat="1" ht="16.5" customHeight="1" thickBot="1">
      <c r="A11" s="698" t="s">
        <v>140</v>
      </c>
      <c r="B11" s="702">
        <v>128</v>
      </c>
      <c r="C11" s="702">
        <v>115</v>
      </c>
      <c r="D11" s="702">
        <v>1897</v>
      </c>
      <c r="E11" s="702">
        <v>927</v>
      </c>
      <c r="F11" s="702">
        <v>952</v>
      </c>
      <c r="G11" s="702">
        <v>1884</v>
      </c>
      <c r="H11" s="700">
        <v>6.2421875</v>
      </c>
      <c r="I11" s="700">
        <v>7.278260869565218</v>
      </c>
      <c r="J11" s="700">
        <v>-0.006852925672113864</v>
      </c>
    </row>
    <row r="12" spans="1:10" s="58" customFormat="1" ht="16.5" customHeight="1" thickBot="1">
      <c r="A12" s="696" t="s">
        <v>141</v>
      </c>
      <c r="B12" s="695">
        <v>7572</v>
      </c>
      <c r="C12" s="695">
        <v>6208</v>
      </c>
      <c r="D12" s="695">
        <v>12087</v>
      </c>
      <c r="E12" s="695">
        <v>6308</v>
      </c>
      <c r="F12" s="695">
        <v>6159</v>
      </c>
      <c r="G12" s="695">
        <v>10723</v>
      </c>
      <c r="H12" s="697">
        <v>-0.1669307976756471</v>
      </c>
      <c r="I12" s="697">
        <v>-0.007893041237113402</v>
      </c>
      <c r="J12" s="697">
        <v>-0.11284851493339952</v>
      </c>
    </row>
    <row r="13" spans="1:10" s="58" customFormat="1" ht="16.5" customHeight="1">
      <c r="A13" s="230" t="s">
        <v>142</v>
      </c>
      <c r="B13" s="355">
        <v>53046</v>
      </c>
      <c r="C13" s="355">
        <v>41066</v>
      </c>
      <c r="D13" s="355">
        <v>79185</v>
      </c>
      <c r="E13" s="355">
        <v>36978</v>
      </c>
      <c r="F13" s="355">
        <v>30663</v>
      </c>
      <c r="G13" s="355">
        <v>66112</v>
      </c>
      <c r="H13" s="241">
        <v>-0.3029069109829205</v>
      </c>
      <c r="I13" s="241">
        <v>-0.2533239175960649</v>
      </c>
      <c r="J13" s="241">
        <v>-0.1650943991917661</v>
      </c>
    </row>
    <row r="14" spans="1:10" s="58" customFormat="1" ht="16.5" customHeight="1">
      <c r="A14" s="538" t="s">
        <v>143</v>
      </c>
      <c r="B14" s="356">
        <v>0</v>
      </c>
      <c r="C14" s="356">
        <v>0</v>
      </c>
      <c r="D14" s="356">
        <v>0</v>
      </c>
      <c r="E14" s="356">
        <v>2561</v>
      </c>
      <c r="F14" s="356">
        <v>3205</v>
      </c>
      <c r="G14" s="356">
        <v>2481</v>
      </c>
      <c r="H14" s="537" t="s">
        <v>458</v>
      </c>
      <c r="I14" s="537" t="s">
        <v>458</v>
      </c>
      <c r="J14" s="537" t="s">
        <v>458</v>
      </c>
    </row>
    <row r="15" spans="1:10" s="58" customFormat="1" ht="16.5" customHeight="1">
      <c r="A15" s="63" t="s">
        <v>144</v>
      </c>
      <c r="B15" s="356">
        <v>100</v>
      </c>
      <c r="C15" s="356">
        <v>1555</v>
      </c>
      <c r="D15" s="356">
        <v>275</v>
      </c>
      <c r="E15" s="356">
        <v>1182</v>
      </c>
      <c r="F15" s="356">
        <v>848</v>
      </c>
      <c r="G15" s="356">
        <v>1730</v>
      </c>
      <c r="H15" s="242">
        <v>10.82</v>
      </c>
      <c r="I15" s="242">
        <v>-0.45466237942122184</v>
      </c>
      <c r="J15" s="242">
        <v>5.290909090909091</v>
      </c>
    </row>
    <row r="16" spans="1:10" s="58" customFormat="1" ht="16.5" customHeight="1">
      <c r="A16" s="538" t="s">
        <v>145</v>
      </c>
      <c r="B16" s="356">
        <v>0</v>
      </c>
      <c r="C16" s="356">
        <v>0</v>
      </c>
      <c r="D16" s="356">
        <v>0</v>
      </c>
      <c r="E16" s="356">
        <v>930</v>
      </c>
      <c r="F16" s="356">
        <v>1401</v>
      </c>
      <c r="G16" s="356">
        <v>548</v>
      </c>
      <c r="H16" s="537" t="s">
        <v>458</v>
      </c>
      <c r="I16" s="537" t="s">
        <v>458</v>
      </c>
      <c r="J16" s="537" t="s">
        <v>458</v>
      </c>
    </row>
    <row r="17" spans="1:10" s="58" customFormat="1" ht="16.5" customHeight="1">
      <c r="A17" s="538" t="s">
        <v>146</v>
      </c>
      <c r="B17" s="356">
        <v>0</v>
      </c>
      <c r="C17" s="356">
        <v>0</v>
      </c>
      <c r="D17" s="356">
        <v>0</v>
      </c>
      <c r="E17" s="356">
        <v>577</v>
      </c>
      <c r="F17" s="356">
        <v>661</v>
      </c>
      <c r="G17" s="356">
        <v>875</v>
      </c>
      <c r="H17" s="537" t="s">
        <v>458</v>
      </c>
      <c r="I17" s="537" t="s">
        <v>458</v>
      </c>
      <c r="J17" s="537" t="s">
        <v>458</v>
      </c>
    </row>
    <row r="18" spans="1:10" s="58" customFormat="1" ht="16.5" customHeight="1">
      <c r="A18" s="538" t="s">
        <v>147</v>
      </c>
      <c r="B18" s="356">
        <v>0</v>
      </c>
      <c r="C18" s="356">
        <v>0</v>
      </c>
      <c r="D18" s="356">
        <v>0</v>
      </c>
      <c r="E18" s="356">
        <v>1681</v>
      </c>
      <c r="F18" s="356">
        <v>1791</v>
      </c>
      <c r="G18" s="356">
        <v>3509</v>
      </c>
      <c r="H18" s="537" t="s">
        <v>458</v>
      </c>
      <c r="I18" s="537" t="s">
        <v>458</v>
      </c>
      <c r="J18" s="537" t="s">
        <v>458</v>
      </c>
    </row>
    <row r="19" spans="1:10" s="58" customFormat="1" ht="16.5" customHeight="1">
      <c r="A19" s="538" t="s">
        <v>148</v>
      </c>
      <c r="B19" s="356">
        <v>0</v>
      </c>
      <c r="C19" s="356">
        <v>0</v>
      </c>
      <c r="D19" s="356">
        <v>0</v>
      </c>
      <c r="E19" s="356">
        <v>3122</v>
      </c>
      <c r="F19" s="356">
        <v>3458</v>
      </c>
      <c r="G19" s="356">
        <v>3695</v>
      </c>
      <c r="H19" s="537" t="s">
        <v>458</v>
      </c>
      <c r="I19" s="537" t="s">
        <v>458</v>
      </c>
      <c r="J19" s="537" t="s">
        <v>458</v>
      </c>
    </row>
    <row r="20" spans="1:10" s="58" customFormat="1" ht="16.5" customHeight="1">
      <c r="A20" s="63" t="s">
        <v>149</v>
      </c>
      <c r="B20" s="356">
        <v>69</v>
      </c>
      <c r="C20" s="356">
        <v>181</v>
      </c>
      <c r="D20" s="356">
        <v>2194</v>
      </c>
      <c r="E20" s="356">
        <v>1495</v>
      </c>
      <c r="F20" s="356">
        <v>1562</v>
      </c>
      <c r="G20" s="356">
        <v>2306</v>
      </c>
      <c r="H20" s="242">
        <v>20.666666666666668</v>
      </c>
      <c r="I20" s="242">
        <v>7.629834254143646</v>
      </c>
      <c r="J20" s="242">
        <v>0.05104831358249772</v>
      </c>
    </row>
    <row r="21" spans="1:10" s="58" customFormat="1" ht="16.5" customHeight="1" thickBot="1">
      <c r="A21" s="231" t="s">
        <v>150</v>
      </c>
      <c r="B21" s="694">
        <v>53215</v>
      </c>
      <c r="C21" s="694">
        <v>42802</v>
      </c>
      <c r="D21" s="694">
        <v>81654</v>
      </c>
      <c r="E21" s="694">
        <v>48526</v>
      </c>
      <c r="F21" s="694">
        <v>43589</v>
      </c>
      <c r="G21" s="694">
        <v>81256</v>
      </c>
      <c r="H21" s="243">
        <v>-0.08811425349995303</v>
      </c>
      <c r="I21" s="243">
        <v>0.018386991262090556</v>
      </c>
      <c r="J21" s="243">
        <v>-0.004874225390060499</v>
      </c>
    </row>
    <row r="22" spans="1:10" s="58" customFormat="1" ht="16.5" customHeight="1" thickBot="1">
      <c r="A22" s="233" t="s">
        <v>151</v>
      </c>
      <c r="B22" s="695">
        <v>971</v>
      </c>
      <c r="C22" s="695">
        <v>2768</v>
      </c>
      <c r="D22" s="695">
        <v>5610</v>
      </c>
      <c r="E22" s="695">
        <v>5209</v>
      </c>
      <c r="F22" s="695">
        <v>4727</v>
      </c>
      <c r="G22" s="695">
        <v>7407</v>
      </c>
      <c r="H22" s="243">
        <v>4.3645726055612775</v>
      </c>
      <c r="I22" s="243">
        <v>0.7077312138728323</v>
      </c>
      <c r="J22" s="243">
        <v>0.32032085561497325</v>
      </c>
    </row>
    <row r="23" spans="1:10" s="58" customFormat="1" ht="16.5" customHeight="1">
      <c r="A23" s="693" t="s">
        <v>152</v>
      </c>
      <c r="B23" s="355">
        <v>15772</v>
      </c>
      <c r="C23" s="355">
        <v>11980</v>
      </c>
      <c r="D23" s="355">
        <v>17040</v>
      </c>
      <c r="E23" s="355">
        <v>9134</v>
      </c>
      <c r="F23" s="355">
        <v>8533</v>
      </c>
      <c r="G23" s="355">
        <v>13248</v>
      </c>
      <c r="H23" s="247">
        <v>-0.42087243215825515</v>
      </c>
      <c r="I23" s="247">
        <v>-0.28772954924874794</v>
      </c>
      <c r="J23" s="247">
        <v>-0.22253521126760564</v>
      </c>
    </row>
    <row r="24" spans="1:10" s="58" customFormat="1" ht="16.5" customHeight="1" thickBot="1">
      <c r="A24" s="698" t="s">
        <v>153</v>
      </c>
      <c r="B24" s="699">
        <v>326</v>
      </c>
      <c r="C24" s="699">
        <v>2382</v>
      </c>
      <c r="D24" s="699">
        <v>0</v>
      </c>
      <c r="E24" s="699">
        <v>1820</v>
      </c>
      <c r="F24" s="699">
        <v>1646</v>
      </c>
      <c r="G24" s="699">
        <v>2056</v>
      </c>
      <c r="H24" s="700">
        <v>4.58282208588957</v>
      </c>
      <c r="I24" s="700">
        <v>-0.3089840470193115</v>
      </c>
      <c r="J24" s="701" t="s">
        <v>458</v>
      </c>
    </row>
    <row r="25" spans="1:10" s="58" customFormat="1" ht="16.5" customHeight="1" thickBot="1">
      <c r="A25" s="696" t="s">
        <v>154</v>
      </c>
      <c r="B25" s="695">
        <v>16098</v>
      </c>
      <c r="C25" s="695">
        <v>14362</v>
      </c>
      <c r="D25" s="695">
        <v>17040</v>
      </c>
      <c r="E25" s="695">
        <v>10954</v>
      </c>
      <c r="F25" s="695">
        <v>10179</v>
      </c>
      <c r="G25" s="695">
        <v>15304</v>
      </c>
      <c r="H25" s="697">
        <v>-0.3195428003478693</v>
      </c>
      <c r="I25" s="697">
        <v>-0.29125469990252056</v>
      </c>
      <c r="J25" s="697">
        <v>-0.10187793427230046</v>
      </c>
    </row>
    <row r="26" spans="1:10" s="58" customFormat="1" ht="16.5" customHeight="1">
      <c r="A26" s="232" t="s">
        <v>155</v>
      </c>
      <c r="B26" s="359">
        <v>25381</v>
      </c>
      <c r="C26" s="359">
        <v>17986</v>
      </c>
      <c r="D26" s="359">
        <v>28788</v>
      </c>
      <c r="E26" s="359">
        <v>13404</v>
      </c>
      <c r="F26" s="359">
        <v>14418</v>
      </c>
      <c r="G26" s="359">
        <v>21393</v>
      </c>
      <c r="H26" s="659">
        <v>-0.47188842047200663</v>
      </c>
      <c r="I26" s="659">
        <v>-0.19837651506727455</v>
      </c>
      <c r="J26" s="659">
        <v>-0.25687786577740723</v>
      </c>
    </row>
    <row r="27" spans="1:10" s="58" customFormat="1" ht="16.5" customHeight="1">
      <c r="A27" s="63" t="s">
        <v>156</v>
      </c>
      <c r="B27" s="356">
        <v>128</v>
      </c>
      <c r="C27" s="356">
        <v>1979</v>
      </c>
      <c r="D27" s="356">
        <v>268</v>
      </c>
      <c r="E27" s="356">
        <v>1537</v>
      </c>
      <c r="F27" s="356">
        <v>1512</v>
      </c>
      <c r="G27" s="356">
        <v>2119</v>
      </c>
      <c r="H27" s="242">
        <v>11.0078125</v>
      </c>
      <c r="I27" s="242">
        <v>-0.235977766548762</v>
      </c>
      <c r="J27" s="242">
        <v>6.906716417910448</v>
      </c>
    </row>
    <row r="28" spans="1:10" s="90" customFormat="1" ht="19.5" customHeight="1">
      <c r="A28" s="261" t="s">
        <v>157</v>
      </c>
      <c r="B28" s="356">
        <v>277</v>
      </c>
      <c r="C28" s="356">
        <v>2602</v>
      </c>
      <c r="D28" s="356">
        <v>497</v>
      </c>
      <c r="E28" s="356">
        <v>2141</v>
      </c>
      <c r="F28" s="356">
        <v>2960</v>
      </c>
      <c r="G28" s="356">
        <v>2822</v>
      </c>
      <c r="H28" s="242">
        <v>6.729241877256317</v>
      </c>
      <c r="I28" s="242">
        <v>0.13758647194465795</v>
      </c>
      <c r="J28" s="242">
        <v>4.678068410462776</v>
      </c>
    </row>
    <row r="29" spans="1:10" s="90" customFormat="1" ht="16.5" customHeight="1">
      <c r="A29" s="235" t="s">
        <v>158</v>
      </c>
      <c r="B29" s="356">
        <v>112</v>
      </c>
      <c r="C29" s="356">
        <v>2354</v>
      </c>
      <c r="D29" s="356">
        <v>330</v>
      </c>
      <c r="E29" s="356">
        <v>940</v>
      </c>
      <c r="F29" s="356">
        <v>1684</v>
      </c>
      <c r="G29" s="356">
        <v>2572</v>
      </c>
      <c r="H29" s="242">
        <v>7.392857142857143</v>
      </c>
      <c r="I29" s="242">
        <v>-0.28462192013593884</v>
      </c>
      <c r="J29" s="242">
        <v>6.793939393939394</v>
      </c>
    </row>
    <row r="30" spans="1:10" s="58" customFormat="1" ht="16.5" customHeight="1" thickBot="1">
      <c r="A30" s="231" t="s">
        <v>159</v>
      </c>
      <c r="B30" s="694">
        <v>25898</v>
      </c>
      <c r="C30" s="694">
        <v>24921</v>
      </c>
      <c r="D30" s="694">
        <v>29883</v>
      </c>
      <c r="E30" s="694">
        <v>18022</v>
      </c>
      <c r="F30" s="694">
        <v>20574</v>
      </c>
      <c r="G30" s="694">
        <v>28906</v>
      </c>
      <c r="H30" s="243">
        <v>-0.30411614796509384</v>
      </c>
      <c r="I30" s="243">
        <v>-0.1744312026002167</v>
      </c>
      <c r="J30" s="243">
        <v>-0.03269417394505237</v>
      </c>
    </row>
    <row r="31" spans="1:10" s="59" customFormat="1" ht="16.5" customHeight="1" thickBot="1">
      <c r="A31" s="703" t="s">
        <v>5</v>
      </c>
      <c r="B31" s="704">
        <v>103754</v>
      </c>
      <c r="C31" s="704">
        <v>91061</v>
      </c>
      <c r="D31" s="704">
        <v>146274</v>
      </c>
      <c r="E31" s="704">
        <v>89019</v>
      </c>
      <c r="F31" s="704">
        <v>85228</v>
      </c>
      <c r="G31" s="704">
        <v>143596</v>
      </c>
      <c r="H31" s="705">
        <v>-0.1420186209688301</v>
      </c>
      <c r="I31" s="705">
        <v>-0.06405596248668476</v>
      </c>
      <c r="J31" s="705">
        <v>-0.018308106703857144</v>
      </c>
    </row>
    <row r="32" spans="1:10" s="58" customFormat="1" ht="11.25">
      <c r="A32" s="744" t="s">
        <v>477</v>
      </c>
      <c r="B32" s="745"/>
      <c r="C32" s="745"/>
      <c r="D32" s="745"/>
      <c r="E32" s="745"/>
      <c r="F32" s="745"/>
      <c r="G32" s="745"/>
      <c r="H32" s="745"/>
      <c r="I32" s="290"/>
      <c r="J32" s="290"/>
    </row>
    <row r="33" spans="1:10" s="58" customFormat="1" ht="11.25">
      <c r="A33" s="744" t="s">
        <v>478</v>
      </c>
      <c r="B33" s="746"/>
      <c r="C33" s="746"/>
      <c r="D33" s="746"/>
      <c r="E33" s="746"/>
      <c r="F33" s="651"/>
      <c r="G33" s="651"/>
      <c r="H33" s="651"/>
      <c r="I33" s="289"/>
      <c r="J33" s="289"/>
    </row>
    <row r="34" spans="1:10" s="58" customFormat="1" ht="16.5" customHeight="1">
      <c r="A34" s="82"/>
      <c r="B34" s="84"/>
      <c r="C34" s="84"/>
      <c r="D34" s="84"/>
      <c r="E34" s="84"/>
      <c r="F34" s="84"/>
      <c r="G34" s="85"/>
      <c r="H34" s="86"/>
      <c r="I34" s="86"/>
      <c r="J34" s="86"/>
    </row>
    <row r="35" spans="1:10" s="58" customFormat="1" ht="27.75" customHeight="1">
      <c r="A35" s="740" t="s">
        <v>480</v>
      </c>
      <c r="B35" s="741"/>
      <c r="C35" s="741"/>
      <c r="D35" s="741"/>
      <c r="E35" s="741"/>
      <c r="F35" s="741"/>
      <c r="G35" s="741"/>
      <c r="H35" s="741"/>
      <c r="I35" s="741"/>
      <c r="J35" s="741"/>
    </row>
    <row r="36" spans="1:10" s="58" customFormat="1" ht="36.75" customHeight="1">
      <c r="A36" s="738" t="s">
        <v>37</v>
      </c>
      <c r="B36" s="732" t="s">
        <v>365</v>
      </c>
      <c r="C36" s="721"/>
      <c r="D36" s="722"/>
      <c r="E36" s="721" t="s">
        <v>298</v>
      </c>
      <c r="F36" s="721"/>
      <c r="G36" s="722"/>
      <c r="H36" s="737" t="s">
        <v>368</v>
      </c>
      <c r="I36" s="730"/>
      <c r="J36" s="731"/>
    </row>
    <row r="37" spans="1:10" s="58" customFormat="1" ht="21.75" customHeight="1" thickBot="1">
      <c r="A37" s="739"/>
      <c r="B37" s="237" t="s">
        <v>1</v>
      </c>
      <c r="C37" s="238" t="s">
        <v>2</v>
      </c>
      <c r="D37" s="238" t="s">
        <v>3</v>
      </c>
      <c r="E37" s="237" t="s">
        <v>1</v>
      </c>
      <c r="F37" s="238" t="s">
        <v>2</v>
      </c>
      <c r="G37" s="238" t="s">
        <v>3</v>
      </c>
      <c r="H37" s="238" t="s">
        <v>1</v>
      </c>
      <c r="I37" s="238" t="s">
        <v>2</v>
      </c>
      <c r="J37" s="238" t="s">
        <v>3</v>
      </c>
    </row>
    <row r="38" spans="1:10" s="58" customFormat="1" ht="16.5" customHeight="1" thickTop="1">
      <c r="A38" s="239" t="s">
        <v>161</v>
      </c>
      <c r="B38" s="358">
        <v>857</v>
      </c>
      <c r="C38" s="358">
        <v>828</v>
      </c>
      <c r="D38" s="358">
        <v>280</v>
      </c>
      <c r="E38" s="358">
        <v>819</v>
      </c>
      <c r="F38" s="358">
        <v>1011</v>
      </c>
      <c r="G38" s="358">
        <v>251</v>
      </c>
      <c r="H38" s="241">
        <f aca="true" t="shared" si="1" ref="H38:H76">IF(B38&gt;0,(E38-B38)/B38," ")</f>
        <v>-0.044340723453908985</v>
      </c>
      <c r="I38" s="241">
        <f aca="true" t="shared" si="2" ref="I38:I76">IF(C38&gt;0,(F38-C38)/C38," ")</f>
        <v>0.2210144927536232</v>
      </c>
      <c r="J38" s="241">
        <f aca="true" t="shared" si="3" ref="J38:J76">IF(D38&gt;0,(G38-D38)/D38," ")</f>
        <v>-0.10357142857142858</v>
      </c>
    </row>
    <row r="39" spans="1:10" s="58" customFormat="1" ht="16.5" customHeight="1">
      <c r="A39" s="63" t="s">
        <v>162</v>
      </c>
      <c r="B39" s="358">
        <v>100</v>
      </c>
      <c r="C39" s="358">
        <v>142</v>
      </c>
      <c r="D39" s="358">
        <v>55</v>
      </c>
      <c r="E39" s="358">
        <v>174</v>
      </c>
      <c r="F39" s="358">
        <v>189</v>
      </c>
      <c r="G39" s="358">
        <v>97</v>
      </c>
      <c r="H39" s="242">
        <f t="shared" si="1"/>
        <v>0.74</v>
      </c>
      <c r="I39" s="242">
        <f t="shared" si="2"/>
        <v>0.33098591549295775</v>
      </c>
      <c r="J39" s="242">
        <f t="shared" si="3"/>
        <v>0.7636363636363637</v>
      </c>
    </row>
    <row r="40" spans="1:10" s="58" customFormat="1" ht="22.5" customHeight="1">
      <c r="A40" s="63" t="s">
        <v>163</v>
      </c>
      <c r="B40" s="356">
        <v>36</v>
      </c>
      <c r="C40" s="356">
        <v>40</v>
      </c>
      <c r="D40" s="356">
        <v>122</v>
      </c>
      <c r="E40" s="356">
        <v>191</v>
      </c>
      <c r="F40" s="356">
        <v>222</v>
      </c>
      <c r="G40" s="356">
        <v>126</v>
      </c>
      <c r="H40" s="242">
        <f t="shared" si="1"/>
        <v>4.305555555555555</v>
      </c>
      <c r="I40" s="242">
        <f t="shared" si="2"/>
        <v>4.55</v>
      </c>
      <c r="J40" s="242">
        <f t="shared" si="3"/>
        <v>0.03278688524590164</v>
      </c>
    </row>
    <row r="41" spans="1:10" s="90" customFormat="1" ht="16.5" customHeight="1">
      <c r="A41" s="538" t="s">
        <v>164</v>
      </c>
      <c r="B41" s="498" t="s">
        <v>458</v>
      </c>
      <c r="C41" s="498" t="s">
        <v>458</v>
      </c>
      <c r="D41" s="498" t="s">
        <v>458</v>
      </c>
      <c r="E41" s="498" t="s">
        <v>458</v>
      </c>
      <c r="F41" s="498" t="s">
        <v>458</v>
      </c>
      <c r="G41" s="498" t="s">
        <v>458</v>
      </c>
      <c r="H41" s="537" t="s">
        <v>458</v>
      </c>
      <c r="I41" s="537" t="s">
        <v>458</v>
      </c>
      <c r="J41" s="537" t="s">
        <v>458</v>
      </c>
    </row>
    <row r="42" spans="1:10" s="58" customFormat="1" ht="16.5" customHeight="1">
      <c r="A42" s="63" t="s">
        <v>165</v>
      </c>
      <c r="B42" s="356">
        <v>54</v>
      </c>
      <c r="C42" s="356">
        <v>96</v>
      </c>
      <c r="D42" s="356">
        <v>435</v>
      </c>
      <c r="E42" s="356">
        <v>420</v>
      </c>
      <c r="F42" s="356">
        <v>434</v>
      </c>
      <c r="G42" s="356">
        <v>477</v>
      </c>
      <c r="H42" s="242">
        <f t="shared" si="1"/>
        <v>6.777777777777778</v>
      </c>
      <c r="I42" s="242">
        <f t="shared" si="2"/>
        <v>3.5208333333333335</v>
      </c>
      <c r="J42" s="242">
        <f t="shared" si="3"/>
        <v>0.09655172413793103</v>
      </c>
    </row>
    <row r="43" spans="1:10" s="58" customFormat="1" ht="16.5" customHeight="1">
      <c r="A43" s="234" t="s">
        <v>166</v>
      </c>
      <c r="B43" s="358">
        <v>37</v>
      </c>
      <c r="C43" s="358">
        <v>90</v>
      </c>
      <c r="D43" s="358">
        <v>23</v>
      </c>
      <c r="E43" s="358">
        <v>183</v>
      </c>
      <c r="F43" s="358">
        <v>252</v>
      </c>
      <c r="G43" s="358">
        <v>76</v>
      </c>
      <c r="H43" s="247">
        <f t="shared" si="1"/>
        <v>3.945945945945946</v>
      </c>
      <c r="I43" s="247">
        <f t="shared" si="2"/>
        <v>1.8</v>
      </c>
      <c r="J43" s="247">
        <f t="shared" si="3"/>
        <v>2.3043478260869565</v>
      </c>
    </row>
    <row r="44" spans="1:10" s="58" customFormat="1" ht="16.5" customHeight="1" thickBot="1">
      <c r="A44" s="231" t="s">
        <v>160</v>
      </c>
      <c r="B44" s="694">
        <v>1084</v>
      </c>
      <c r="C44" s="694">
        <v>1196</v>
      </c>
      <c r="D44" s="694">
        <v>915</v>
      </c>
      <c r="E44" s="694">
        <v>1787</v>
      </c>
      <c r="F44" s="694">
        <v>2108</v>
      </c>
      <c r="G44" s="694">
        <v>1027</v>
      </c>
      <c r="H44" s="243">
        <f t="shared" si="1"/>
        <v>0.6485239852398524</v>
      </c>
      <c r="I44" s="243">
        <f t="shared" si="2"/>
        <v>0.7625418060200669</v>
      </c>
      <c r="J44" s="243">
        <f t="shared" si="3"/>
        <v>0.12240437158469945</v>
      </c>
    </row>
    <row r="45" spans="1:10" s="58" customFormat="1" ht="16.5" customHeight="1">
      <c r="A45" s="239" t="s">
        <v>169</v>
      </c>
      <c r="B45" s="363">
        <v>1890</v>
      </c>
      <c r="C45" s="363">
        <v>1872</v>
      </c>
      <c r="D45" s="363">
        <v>957</v>
      </c>
      <c r="E45" s="363">
        <v>1699</v>
      </c>
      <c r="F45" s="363">
        <v>1729</v>
      </c>
      <c r="G45" s="363">
        <v>939</v>
      </c>
      <c r="H45" s="241">
        <f t="shared" si="1"/>
        <v>-0.10105820105820106</v>
      </c>
      <c r="I45" s="241">
        <f t="shared" si="2"/>
        <v>-0.0763888888888889</v>
      </c>
      <c r="J45" s="241">
        <f t="shared" si="3"/>
        <v>-0.018808777429467086</v>
      </c>
    </row>
    <row r="46" spans="1:10" s="58" customFormat="1" ht="16.5" customHeight="1">
      <c r="A46" s="63" t="s">
        <v>170</v>
      </c>
      <c r="B46" s="358">
        <v>376</v>
      </c>
      <c r="C46" s="358">
        <v>398</v>
      </c>
      <c r="D46" s="358">
        <v>1130</v>
      </c>
      <c r="E46" s="358">
        <v>354</v>
      </c>
      <c r="F46" s="358">
        <v>377</v>
      </c>
      <c r="G46" s="358">
        <v>1152</v>
      </c>
      <c r="H46" s="242">
        <f t="shared" si="1"/>
        <v>-0.05851063829787234</v>
      </c>
      <c r="I46" s="242">
        <f t="shared" si="2"/>
        <v>-0.052763819095477386</v>
      </c>
      <c r="J46" s="242">
        <f t="shared" si="3"/>
        <v>0.019469026548672566</v>
      </c>
    </row>
    <row r="47" spans="1:10" s="60" customFormat="1" ht="16.5" customHeight="1">
      <c r="A47" s="63" t="s">
        <v>171</v>
      </c>
      <c r="B47" s="356">
        <v>541</v>
      </c>
      <c r="C47" s="356">
        <v>663</v>
      </c>
      <c r="D47" s="356">
        <v>328</v>
      </c>
      <c r="E47" s="356">
        <v>730</v>
      </c>
      <c r="F47" s="356">
        <v>787</v>
      </c>
      <c r="G47" s="356">
        <v>450</v>
      </c>
      <c r="H47" s="242">
        <f t="shared" si="1"/>
        <v>0.34935304990757854</v>
      </c>
      <c r="I47" s="242">
        <f t="shared" si="2"/>
        <v>0.1870286576168929</v>
      </c>
      <c r="J47" s="242">
        <f t="shared" si="3"/>
        <v>0.3719512195121951</v>
      </c>
    </row>
    <row r="48" spans="1:10" s="58" customFormat="1" ht="16.5" customHeight="1">
      <c r="A48" s="63" t="s">
        <v>172</v>
      </c>
      <c r="B48" s="356">
        <v>433</v>
      </c>
      <c r="C48" s="356">
        <v>472</v>
      </c>
      <c r="D48" s="356">
        <v>147</v>
      </c>
      <c r="E48" s="356">
        <v>400</v>
      </c>
      <c r="F48" s="356">
        <v>551</v>
      </c>
      <c r="G48" s="356">
        <v>186</v>
      </c>
      <c r="H48" s="242">
        <f t="shared" si="1"/>
        <v>-0.07621247113163972</v>
      </c>
      <c r="I48" s="242">
        <f t="shared" si="2"/>
        <v>0.1673728813559322</v>
      </c>
      <c r="J48" s="242">
        <f t="shared" si="3"/>
        <v>0.2653061224489796</v>
      </c>
    </row>
    <row r="49" spans="1:10" s="58" customFormat="1" ht="16.5" customHeight="1">
      <c r="A49" s="63" t="s">
        <v>173</v>
      </c>
      <c r="B49" s="358">
        <v>308</v>
      </c>
      <c r="C49" s="358">
        <v>367</v>
      </c>
      <c r="D49" s="358">
        <v>119</v>
      </c>
      <c r="E49" s="358">
        <v>348</v>
      </c>
      <c r="F49" s="358">
        <v>400</v>
      </c>
      <c r="G49" s="358">
        <v>178</v>
      </c>
      <c r="H49" s="242">
        <f t="shared" si="1"/>
        <v>0.12987012987012986</v>
      </c>
      <c r="I49" s="242">
        <f t="shared" si="2"/>
        <v>0.08991825613079019</v>
      </c>
      <c r="J49" s="242">
        <f t="shared" si="3"/>
        <v>0.4957983193277311</v>
      </c>
    </row>
    <row r="50" spans="1:10" s="58" customFormat="1" ht="16.5" customHeight="1">
      <c r="A50" s="63" t="s">
        <v>168</v>
      </c>
      <c r="B50" s="358">
        <v>9118</v>
      </c>
      <c r="C50" s="358">
        <v>9327</v>
      </c>
      <c r="D50" s="358">
        <v>4689</v>
      </c>
      <c r="E50" s="358">
        <v>8924</v>
      </c>
      <c r="F50" s="358">
        <v>10595</v>
      </c>
      <c r="G50" s="358">
        <v>4898</v>
      </c>
      <c r="H50" s="242">
        <f t="shared" si="1"/>
        <v>-0.02127659574468085</v>
      </c>
      <c r="I50" s="242">
        <f t="shared" si="2"/>
        <v>0.13594939423180016</v>
      </c>
      <c r="J50" s="242">
        <f t="shared" si="3"/>
        <v>0.04457240349754745</v>
      </c>
    </row>
    <row r="51" spans="1:10" s="90" customFormat="1" ht="16.5" customHeight="1">
      <c r="A51" s="538" t="s">
        <v>174</v>
      </c>
      <c r="B51" s="653" t="s">
        <v>458</v>
      </c>
      <c r="C51" s="653" t="s">
        <v>458</v>
      </c>
      <c r="D51" s="653" t="s">
        <v>458</v>
      </c>
      <c r="E51" s="653" t="s">
        <v>458</v>
      </c>
      <c r="F51" s="653" t="s">
        <v>458</v>
      </c>
      <c r="G51" s="653" t="s">
        <v>458</v>
      </c>
      <c r="H51" s="658" t="s">
        <v>458</v>
      </c>
      <c r="I51" s="658" t="s">
        <v>458</v>
      </c>
      <c r="J51" s="658" t="s">
        <v>458</v>
      </c>
    </row>
    <row r="52" spans="1:10" s="58" customFormat="1" ht="16.5" customHeight="1">
      <c r="A52" s="63" t="s">
        <v>175</v>
      </c>
      <c r="B52" s="358">
        <v>182</v>
      </c>
      <c r="C52" s="358">
        <v>166</v>
      </c>
      <c r="D52" s="358">
        <v>123</v>
      </c>
      <c r="E52" s="358">
        <v>246</v>
      </c>
      <c r="F52" s="358">
        <v>239</v>
      </c>
      <c r="G52" s="358">
        <v>107</v>
      </c>
      <c r="H52" s="242">
        <f t="shared" si="1"/>
        <v>0.3516483516483517</v>
      </c>
      <c r="I52" s="242">
        <f t="shared" si="2"/>
        <v>0.4397590361445783</v>
      </c>
      <c r="J52" s="242">
        <f t="shared" si="3"/>
        <v>-0.13008130081300814</v>
      </c>
    </row>
    <row r="53" spans="1:10" s="58" customFormat="1" ht="16.5" customHeight="1">
      <c r="A53" s="63" t="s">
        <v>176</v>
      </c>
      <c r="B53" s="356">
        <v>1433</v>
      </c>
      <c r="C53" s="356">
        <v>1542</v>
      </c>
      <c r="D53" s="356">
        <v>724</v>
      </c>
      <c r="E53" s="356">
        <v>1780</v>
      </c>
      <c r="F53" s="356">
        <v>1990</v>
      </c>
      <c r="G53" s="356">
        <v>833</v>
      </c>
      <c r="H53" s="242">
        <f t="shared" si="1"/>
        <v>0.2421493370551291</v>
      </c>
      <c r="I53" s="242">
        <f t="shared" si="2"/>
        <v>0.2905317769130999</v>
      </c>
      <c r="J53" s="242">
        <f t="shared" si="3"/>
        <v>0.1505524861878453</v>
      </c>
    </row>
    <row r="54" spans="1:10" s="58" customFormat="1" ht="16.5" customHeight="1">
      <c r="A54" s="63" t="s">
        <v>177</v>
      </c>
      <c r="B54" s="364">
        <v>674</v>
      </c>
      <c r="C54" s="364">
        <v>880</v>
      </c>
      <c r="D54" s="364">
        <v>1105</v>
      </c>
      <c r="E54" s="364">
        <v>858</v>
      </c>
      <c r="F54" s="364">
        <v>1578</v>
      </c>
      <c r="G54" s="364">
        <v>1311</v>
      </c>
      <c r="H54" s="242">
        <f t="shared" si="1"/>
        <v>0.27299703264094954</v>
      </c>
      <c r="I54" s="242">
        <f t="shared" si="2"/>
        <v>0.7931818181818182</v>
      </c>
      <c r="J54" s="242">
        <f t="shared" si="3"/>
        <v>0.18642533936651584</v>
      </c>
    </row>
    <row r="55" spans="1:10" s="58" customFormat="1" ht="16.5" customHeight="1">
      <c r="A55" s="63" t="s">
        <v>178</v>
      </c>
      <c r="B55" s="29">
        <v>125</v>
      </c>
      <c r="C55" s="29">
        <v>137</v>
      </c>
      <c r="D55" s="29">
        <v>40</v>
      </c>
      <c r="E55" s="29">
        <v>131</v>
      </c>
      <c r="F55" s="29">
        <v>124</v>
      </c>
      <c r="G55" s="29">
        <v>50</v>
      </c>
      <c r="H55" s="242">
        <f t="shared" si="1"/>
        <v>0.048</v>
      </c>
      <c r="I55" s="242">
        <f t="shared" si="2"/>
        <v>-0.0948905109489051</v>
      </c>
      <c r="J55" s="242">
        <f t="shared" si="3"/>
        <v>0.25</v>
      </c>
    </row>
    <row r="56" spans="1:10" s="58" customFormat="1" ht="16.5" customHeight="1">
      <c r="A56" s="63" t="s">
        <v>179</v>
      </c>
      <c r="B56" s="358">
        <v>172</v>
      </c>
      <c r="C56" s="358">
        <v>183</v>
      </c>
      <c r="D56" s="358">
        <v>42</v>
      </c>
      <c r="E56" s="358">
        <v>109</v>
      </c>
      <c r="F56" s="358">
        <v>117</v>
      </c>
      <c r="G56" s="358">
        <v>53</v>
      </c>
      <c r="H56" s="242">
        <f t="shared" si="1"/>
        <v>-0.36627906976744184</v>
      </c>
      <c r="I56" s="242">
        <f t="shared" si="2"/>
        <v>-0.36065573770491804</v>
      </c>
      <c r="J56" s="242">
        <f t="shared" si="3"/>
        <v>0.2619047619047619</v>
      </c>
    </row>
    <row r="57" spans="1:10" s="90" customFormat="1" ht="16.5" customHeight="1">
      <c r="A57" s="538" t="s">
        <v>180</v>
      </c>
      <c r="B57" s="652" t="s">
        <v>458</v>
      </c>
      <c r="C57" s="652" t="s">
        <v>458</v>
      </c>
      <c r="D57" s="652" t="s">
        <v>458</v>
      </c>
      <c r="E57" s="652" t="s">
        <v>458</v>
      </c>
      <c r="F57" s="652" t="s">
        <v>458</v>
      </c>
      <c r="G57" s="652" t="s">
        <v>458</v>
      </c>
      <c r="H57" s="658" t="s">
        <v>458</v>
      </c>
      <c r="I57" s="658" t="s">
        <v>458</v>
      </c>
      <c r="J57" s="658" t="s">
        <v>458</v>
      </c>
    </row>
    <row r="58" spans="1:10" s="58" customFormat="1" ht="16.5" customHeight="1" thickBot="1">
      <c r="A58" s="231" t="s">
        <v>167</v>
      </c>
      <c r="B58" s="694">
        <v>15252</v>
      </c>
      <c r="C58" s="694">
        <v>16007</v>
      </c>
      <c r="D58" s="694">
        <v>9404</v>
      </c>
      <c r="E58" s="694">
        <v>15579</v>
      </c>
      <c r="F58" s="694">
        <v>18487</v>
      </c>
      <c r="G58" s="694">
        <v>10157</v>
      </c>
      <c r="H58" s="243">
        <f t="shared" si="1"/>
        <v>0.02143981117230527</v>
      </c>
      <c r="I58" s="243">
        <f t="shared" si="2"/>
        <v>0.1549322171549947</v>
      </c>
      <c r="J58" s="243">
        <f t="shared" si="3"/>
        <v>0.08007230965546576</v>
      </c>
    </row>
    <row r="59" spans="1:10" s="58" customFormat="1" ht="16.5" customHeight="1">
      <c r="A59" s="63" t="s">
        <v>186</v>
      </c>
      <c r="B59" s="365">
        <v>142</v>
      </c>
      <c r="C59" s="365">
        <v>258</v>
      </c>
      <c r="D59" s="365">
        <v>163</v>
      </c>
      <c r="E59" s="365">
        <v>159</v>
      </c>
      <c r="F59" s="365">
        <v>228</v>
      </c>
      <c r="G59" s="365">
        <v>279</v>
      </c>
      <c r="H59" s="241">
        <f t="shared" si="1"/>
        <v>0.11971830985915492</v>
      </c>
      <c r="I59" s="241">
        <f t="shared" si="2"/>
        <v>-0.11627906976744186</v>
      </c>
      <c r="J59" s="241">
        <f t="shared" si="3"/>
        <v>0.7116564417177914</v>
      </c>
    </row>
    <row r="60" spans="1:10" s="58" customFormat="1" ht="16.5" customHeight="1">
      <c r="A60" s="63" t="s">
        <v>187</v>
      </c>
      <c r="B60" s="358">
        <v>372</v>
      </c>
      <c r="C60" s="358">
        <v>302</v>
      </c>
      <c r="D60" s="358">
        <v>439</v>
      </c>
      <c r="E60" s="358">
        <v>375</v>
      </c>
      <c r="F60" s="358">
        <v>438</v>
      </c>
      <c r="G60" s="358">
        <v>369</v>
      </c>
      <c r="H60" s="242">
        <f t="shared" si="1"/>
        <v>0.008064516129032258</v>
      </c>
      <c r="I60" s="242">
        <f t="shared" si="2"/>
        <v>0.4503311258278146</v>
      </c>
      <c r="J60" s="242">
        <f t="shared" si="3"/>
        <v>-0.15945330296127563</v>
      </c>
    </row>
    <row r="61" spans="1:10" s="58" customFormat="1" ht="16.5" customHeight="1">
      <c r="A61" s="219" t="s">
        <v>456</v>
      </c>
      <c r="B61" s="358">
        <v>318</v>
      </c>
      <c r="C61" s="358">
        <v>321</v>
      </c>
      <c r="D61" s="358">
        <v>219</v>
      </c>
      <c r="E61" s="358">
        <v>329</v>
      </c>
      <c r="F61" s="358">
        <v>365</v>
      </c>
      <c r="G61" s="358">
        <v>222</v>
      </c>
      <c r="H61" s="242">
        <f t="shared" si="1"/>
        <v>0.03459119496855346</v>
      </c>
      <c r="I61" s="242">
        <f t="shared" si="2"/>
        <v>0.13707165109034267</v>
      </c>
      <c r="J61" s="242">
        <f t="shared" si="3"/>
        <v>0.0136986301369863</v>
      </c>
    </row>
    <row r="62" spans="1:10" s="58" customFormat="1" ht="16.5" customHeight="1">
      <c r="A62" s="219" t="s">
        <v>181</v>
      </c>
      <c r="B62" s="358">
        <v>974</v>
      </c>
      <c r="C62" s="358">
        <v>996</v>
      </c>
      <c r="D62" s="358">
        <v>532</v>
      </c>
      <c r="E62" s="358">
        <v>993</v>
      </c>
      <c r="F62" s="358">
        <v>977</v>
      </c>
      <c r="G62" s="358">
        <v>554</v>
      </c>
      <c r="H62" s="242">
        <f t="shared" si="1"/>
        <v>0.019507186858316223</v>
      </c>
      <c r="I62" s="242">
        <f t="shared" si="2"/>
        <v>-0.019076305220883535</v>
      </c>
      <c r="J62" s="242">
        <f t="shared" si="3"/>
        <v>0.041353383458646614</v>
      </c>
    </row>
    <row r="63" spans="1:10" s="58" customFormat="1" ht="16.5" customHeight="1">
      <c r="A63" s="219" t="s">
        <v>185</v>
      </c>
      <c r="B63" s="356">
        <v>1698</v>
      </c>
      <c r="C63" s="356">
        <v>1760</v>
      </c>
      <c r="D63" s="356">
        <v>1492</v>
      </c>
      <c r="E63" s="356">
        <v>1860</v>
      </c>
      <c r="F63" s="356">
        <v>2115</v>
      </c>
      <c r="G63" s="356">
        <v>1554</v>
      </c>
      <c r="H63" s="242">
        <f t="shared" si="1"/>
        <v>0.09540636042402827</v>
      </c>
      <c r="I63" s="242">
        <f t="shared" si="2"/>
        <v>0.20170454545454544</v>
      </c>
      <c r="J63" s="242">
        <f t="shared" si="3"/>
        <v>0.04155495978552279</v>
      </c>
    </row>
    <row r="64" spans="1:10" s="58" customFormat="1" ht="16.5" customHeight="1">
      <c r="A64" s="219" t="s">
        <v>457</v>
      </c>
      <c r="B64" s="356">
        <v>240</v>
      </c>
      <c r="C64" s="356">
        <v>231</v>
      </c>
      <c r="D64" s="356">
        <v>96</v>
      </c>
      <c r="E64" s="356">
        <v>281</v>
      </c>
      <c r="F64" s="356">
        <v>278</v>
      </c>
      <c r="G64" s="356">
        <v>87</v>
      </c>
      <c r="H64" s="242">
        <f t="shared" si="1"/>
        <v>0.17083333333333334</v>
      </c>
      <c r="I64" s="242">
        <f t="shared" si="2"/>
        <v>0.20346320346320346</v>
      </c>
      <c r="J64" s="242">
        <f t="shared" si="3"/>
        <v>-0.09375</v>
      </c>
    </row>
    <row r="65" spans="1:10" s="58" customFormat="1" ht="16.5" customHeight="1">
      <c r="A65" s="63" t="s">
        <v>188</v>
      </c>
      <c r="B65" s="364">
        <v>1297</v>
      </c>
      <c r="C65" s="364">
        <v>1148</v>
      </c>
      <c r="D65" s="364">
        <v>1222</v>
      </c>
      <c r="E65" s="364">
        <v>1820</v>
      </c>
      <c r="F65" s="364">
        <v>1693</v>
      </c>
      <c r="G65" s="364">
        <v>1073</v>
      </c>
      <c r="H65" s="242">
        <f t="shared" si="1"/>
        <v>0.40323824209714726</v>
      </c>
      <c r="I65" s="242">
        <f t="shared" si="2"/>
        <v>0.47473867595818814</v>
      </c>
      <c r="J65" s="242">
        <f t="shared" si="3"/>
        <v>-0.12193126022913257</v>
      </c>
    </row>
    <row r="66" spans="1:10" s="58" customFormat="1" ht="16.5" customHeight="1" thickBot="1">
      <c r="A66" s="231" t="s">
        <v>184</v>
      </c>
      <c r="B66" s="694">
        <v>5041</v>
      </c>
      <c r="C66" s="694">
        <v>5016</v>
      </c>
      <c r="D66" s="694">
        <v>4163</v>
      </c>
      <c r="E66" s="694">
        <v>5817</v>
      </c>
      <c r="F66" s="694">
        <v>6094</v>
      </c>
      <c r="G66" s="694">
        <v>4138</v>
      </c>
      <c r="H66" s="243">
        <f t="shared" si="1"/>
        <v>0.1539377107716723</v>
      </c>
      <c r="I66" s="243">
        <f t="shared" si="2"/>
        <v>0.2149122807017544</v>
      </c>
      <c r="J66" s="243">
        <f t="shared" si="3"/>
        <v>-0.006005284650492433</v>
      </c>
    </row>
    <row r="67" spans="1:10" s="58" customFormat="1" ht="16.5" customHeight="1">
      <c r="A67" s="63" t="s">
        <v>191</v>
      </c>
      <c r="B67" s="363">
        <v>415</v>
      </c>
      <c r="C67" s="363">
        <v>474</v>
      </c>
      <c r="D67" s="363">
        <v>344</v>
      </c>
      <c r="E67" s="363">
        <v>611</v>
      </c>
      <c r="F67" s="363">
        <v>677</v>
      </c>
      <c r="G67" s="363">
        <v>403</v>
      </c>
      <c r="H67" s="241">
        <f t="shared" si="1"/>
        <v>0.472289156626506</v>
      </c>
      <c r="I67" s="241">
        <f t="shared" si="2"/>
        <v>0.4282700421940928</v>
      </c>
      <c r="J67" s="241">
        <f t="shared" si="3"/>
        <v>0.17151162790697674</v>
      </c>
    </row>
    <row r="68" spans="1:10" s="58" customFormat="1" ht="16.5" customHeight="1">
      <c r="A68" s="63" t="s">
        <v>192</v>
      </c>
      <c r="B68" s="356">
        <v>248</v>
      </c>
      <c r="C68" s="356">
        <v>444</v>
      </c>
      <c r="D68" s="356">
        <v>265</v>
      </c>
      <c r="E68" s="356">
        <v>432</v>
      </c>
      <c r="F68" s="356">
        <v>525</v>
      </c>
      <c r="G68" s="356">
        <v>461</v>
      </c>
      <c r="H68" s="242">
        <f t="shared" si="1"/>
        <v>0.7419354838709677</v>
      </c>
      <c r="I68" s="242">
        <f t="shared" si="2"/>
        <v>0.18243243243243243</v>
      </c>
      <c r="J68" s="242">
        <f t="shared" si="3"/>
        <v>0.7396226415094339</v>
      </c>
    </row>
    <row r="69" spans="1:10" s="58" customFormat="1" ht="16.5" customHeight="1">
      <c r="A69" s="63" t="s">
        <v>193</v>
      </c>
      <c r="B69" s="364">
        <v>382</v>
      </c>
      <c r="C69" s="364">
        <v>375</v>
      </c>
      <c r="D69" s="364">
        <v>317</v>
      </c>
      <c r="E69" s="364">
        <v>336</v>
      </c>
      <c r="F69" s="364">
        <v>381</v>
      </c>
      <c r="G69" s="364">
        <v>310</v>
      </c>
      <c r="H69" s="242">
        <f t="shared" si="1"/>
        <v>-0.12041884816753927</v>
      </c>
      <c r="I69" s="242">
        <f t="shared" si="2"/>
        <v>0.016</v>
      </c>
      <c r="J69" s="242">
        <f t="shared" si="3"/>
        <v>-0.022082018927444796</v>
      </c>
    </row>
    <row r="70" spans="1:10" s="90" customFormat="1" ht="16.5" customHeight="1">
      <c r="A70" s="219" t="s">
        <v>194</v>
      </c>
      <c r="B70" s="29">
        <v>982</v>
      </c>
      <c r="C70" s="29">
        <v>1004</v>
      </c>
      <c r="D70" s="29">
        <v>375</v>
      </c>
      <c r="E70" s="29">
        <v>1193</v>
      </c>
      <c r="F70" s="29">
        <v>1333</v>
      </c>
      <c r="G70" s="29">
        <v>397</v>
      </c>
      <c r="H70" s="242">
        <f>IF(B70&gt;0,(E70-B70)/B70," ")</f>
        <v>0.21486761710794297</v>
      </c>
      <c r="I70" s="242">
        <f>IF(C70&gt;0,(F70-C70)/C70," ")</f>
        <v>0.32768924302788843</v>
      </c>
      <c r="J70" s="242">
        <f>IF(D70&gt;0,(G70-D70)/D70," ")</f>
        <v>0.058666666666666666</v>
      </c>
    </row>
    <row r="71" spans="1:10" s="58" customFormat="1" ht="16.5" customHeight="1">
      <c r="A71" s="63" t="s">
        <v>195</v>
      </c>
      <c r="B71" s="358">
        <v>313</v>
      </c>
      <c r="C71" s="358">
        <v>415</v>
      </c>
      <c r="D71" s="358">
        <v>505</v>
      </c>
      <c r="E71" s="358">
        <v>484</v>
      </c>
      <c r="F71" s="358">
        <v>484</v>
      </c>
      <c r="G71" s="358">
        <v>607</v>
      </c>
      <c r="H71" s="242">
        <f t="shared" si="1"/>
        <v>0.5463258785942492</v>
      </c>
      <c r="I71" s="242">
        <f t="shared" si="2"/>
        <v>0.16626506024096385</v>
      </c>
      <c r="J71" s="242">
        <f t="shared" si="3"/>
        <v>0.201980198019802</v>
      </c>
    </row>
    <row r="72" spans="1:10" s="58" customFormat="1" ht="16.5" customHeight="1">
      <c r="A72" s="63" t="s">
        <v>196</v>
      </c>
      <c r="B72" s="356">
        <v>193</v>
      </c>
      <c r="C72" s="356">
        <v>194</v>
      </c>
      <c r="D72" s="356">
        <v>380</v>
      </c>
      <c r="E72" s="356">
        <v>440</v>
      </c>
      <c r="F72" s="356">
        <v>490</v>
      </c>
      <c r="G72" s="356">
        <v>381</v>
      </c>
      <c r="H72" s="242">
        <f t="shared" si="1"/>
        <v>1.2797927461139897</v>
      </c>
      <c r="I72" s="242">
        <f t="shared" si="2"/>
        <v>1.5257731958762886</v>
      </c>
      <c r="J72" s="242">
        <f t="shared" si="3"/>
        <v>0.002631578947368421</v>
      </c>
    </row>
    <row r="73" spans="1:10" s="58" customFormat="1" ht="16.5" customHeight="1">
      <c r="A73" s="63" t="s">
        <v>197</v>
      </c>
      <c r="B73" s="364">
        <v>109</v>
      </c>
      <c r="C73" s="364">
        <v>102</v>
      </c>
      <c r="D73" s="364">
        <v>52</v>
      </c>
      <c r="E73" s="364">
        <v>129</v>
      </c>
      <c r="F73" s="364">
        <v>123</v>
      </c>
      <c r="G73" s="364">
        <v>45</v>
      </c>
      <c r="H73" s="242">
        <f t="shared" si="1"/>
        <v>0.1834862385321101</v>
      </c>
      <c r="I73" s="242">
        <f t="shared" si="2"/>
        <v>0.20588235294117646</v>
      </c>
      <c r="J73" s="242">
        <f t="shared" si="3"/>
        <v>-0.1346153846153846</v>
      </c>
    </row>
    <row r="74" spans="1:10" s="58" customFormat="1" ht="16.5" customHeight="1">
      <c r="A74" s="219" t="s">
        <v>190</v>
      </c>
      <c r="B74" s="364">
        <v>1312</v>
      </c>
      <c r="C74" s="364">
        <v>1520</v>
      </c>
      <c r="D74" s="364">
        <v>2423</v>
      </c>
      <c r="E74" s="364">
        <v>3237</v>
      </c>
      <c r="F74" s="364">
        <v>3466</v>
      </c>
      <c r="G74" s="364">
        <v>2631</v>
      </c>
      <c r="H74" s="242">
        <f t="shared" si="1"/>
        <v>1.4672256097560976</v>
      </c>
      <c r="I74" s="242">
        <f t="shared" si="2"/>
        <v>1.2802631578947368</v>
      </c>
      <c r="J74" s="242">
        <f t="shared" si="3"/>
        <v>0.08584399504746182</v>
      </c>
    </row>
    <row r="75" spans="1:10" s="58" customFormat="1" ht="16.5" customHeight="1">
      <c r="A75" s="63" t="s">
        <v>198</v>
      </c>
      <c r="B75" s="29">
        <v>18</v>
      </c>
      <c r="C75" s="29">
        <v>18</v>
      </c>
      <c r="D75" s="29">
        <v>10</v>
      </c>
      <c r="E75" s="29">
        <v>31</v>
      </c>
      <c r="F75" s="29">
        <v>40</v>
      </c>
      <c r="G75" s="29">
        <v>10</v>
      </c>
      <c r="H75" s="242">
        <f t="shared" si="1"/>
        <v>0.7222222222222222</v>
      </c>
      <c r="I75" s="242">
        <f t="shared" si="2"/>
        <v>1.2222222222222223</v>
      </c>
      <c r="J75" s="242">
        <f t="shared" si="3"/>
        <v>0</v>
      </c>
    </row>
    <row r="76" spans="1:10" s="58" customFormat="1" ht="16.5" customHeight="1" thickBot="1">
      <c r="A76" s="231" t="s">
        <v>189</v>
      </c>
      <c r="B76" s="694">
        <v>3972</v>
      </c>
      <c r="C76" s="694">
        <v>4546</v>
      </c>
      <c r="D76" s="694">
        <v>4671</v>
      </c>
      <c r="E76" s="694">
        <v>6893</v>
      </c>
      <c r="F76" s="694">
        <v>7519</v>
      </c>
      <c r="G76" s="694">
        <v>5245</v>
      </c>
      <c r="H76" s="243">
        <f t="shared" si="1"/>
        <v>0.7353977844914401</v>
      </c>
      <c r="I76" s="243">
        <f t="shared" si="2"/>
        <v>0.653981522217334</v>
      </c>
      <c r="J76" s="243">
        <f t="shared" si="3"/>
        <v>0.12288589167201884</v>
      </c>
    </row>
    <row r="77" spans="1:12" ht="12.75">
      <c r="A77" s="67" t="s">
        <v>5</v>
      </c>
      <c r="B77" s="513">
        <v>25349</v>
      </c>
      <c r="C77" s="706">
        <v>26765</v>
      </c>
      <c r="D77" s="706">
        <v>19153</v>
      </c>
      <c r="E77" s="706">
        <v>30076</v>
      </c>
      <c r="F77" s="707">
        <v>34208</v>
      </c>
      <c r="G77" s="706">
        <v>20567</v>
      </c>
      <c r="H77" s="657">
        <v>0.1864767840940471</v>
      </c>
      <c r="I77" s="657">
        <v>0.2780870539884177</v>
      </c>
      <c r="J77" s="654">
        <v>0.07382655458674882</v>
      </c>
      <c r="K77" s="656"/>
      <c r="L77" s="655"/>
    </row>
    <row r="78" spans="1:10" ht="12.75">
      <c r="A78" s="660" t="s">
        <v>482</v>
      </c>
      <c r="B78" s="299"/>
      <c r="H78" s="58"/>
      <c r="I78" s="58"/>
      <c r="J78" s="58"/>
    </row>
    <row r="79" spans="1:10" ht="12.75">
      <c r="A79" s="245" t="s">
        <v>479</v>
      </c>
      <c r="H79" s="58"/>
      <c r="I79" s="58"/>
      <c r="J79" s="58"/>
    </row>
    <row r="80" spans="1:10" ht="12.75">
      <c r="A80" s="245"/>
      <c r="H80" s="58"/>
      <c r="I80" s="58"/>
      <c r="J80" s="58"/>
    </row>
    <row r="81" spans="1:10" ht="12.75">
      <c r="A81" s="298"/>
      <c r="H81" s="58"/>
      <c r="I81" s="58"/>
      <c r="J81" s="58"/>
    </row>
    <row r="82" spans="8:10" ht="12.75">
      <c r="H82" s="58"/>
      <c r="I82" s="58"/>
      <c r="J82" s="58"/>
    </row>
    <row r="83" spans="8:10" ht="12.75">
      <c r="H83" s="58"/>
      <c r="I83" s="58"/>
      <c r="J83" s="58"/>
    </row>
    <row r="84" spans="8:10" ht="12.75">
      <c r="H84" s="58"/>
      <c r="I84" s="58"/>
      <c r="J84" s="58"/>
    </row>
    <row r="85" spans="1:10" ht="12.75">
      <c r="A85" s="246"/>
      <c r="B85" s="58"/>
      <c r="C85" s="58"/>
      <c r="D85" s="58"/>
      <c r="H85" s="58"/>
      <c r="I85" s="58"/>
      <c r="J85" s="58"/>
    </row>
    <row r="86" spans="1:10" ht="12.75">
      <c r="A86" s="246"/>
      <c r="B86" s="58"/>
      <c r="C86" s="58"/>
      <c r="D86" s="58"/>
      <c r="H86" s="58"/>
      <c r="I86" s="58"/>
      <c r="J86" s="58"/>
    </row>
    <row r="87" spans="1:10" ht="12.75">
      <c r="A87" s="59"/>
      <c r="B87" s="58"/>
      <c r="C87" s="58"/>
      <c r="D87" s="58"/>
      <c r="H87" s="58"/>
      <c r="I87" s="58"/>
      <c r="J87" s="58"/>
    </row>
    <row r="88" spans="2:10" ht="12.75">
      <c r="B88" s="58"/>
      <c r="C88" s="58"/>
      <c r="D88" s="58"/>
      <c r="H88" s="58"/>
      <c r="I88" s="58"/>
      <c r="J88" s="58"/>
    </row>
    <row r="89" spans="2:10" ht="12.75">
      <c r="B89" s="58"/>
      <c r="C89" s="58"/>
      <c r="D89" s="58"/>
      <c r="H89" s="58"/>
      <c r="I89" s="58"/>
      <c r="J89" s="58"/>
    </row>
    <row r="90" spans="1:10" ht="12.75">
      <c r="A90" s="59"/>
      <c r="B90" s="58"/>
      <c r="C90" s="58"/>
      <c r="D90" s="58"/>
      <c r="H90" s="58"/>
      <c r="I90" s="58"/>
      <c r="J90" s="58"/>
    </row>
    <row r="91" spans="2:10" ht="12.75">
      <c r="B91" s="58"/>
      <c r="C91" s="58"/>
      <c r="D91" s="58"/>
      <c r="H91" s="58"/>
      <c r="I91" s="58"/>
      <c r="J91" s="58"/>
    </row>
    <row r="92" spans="2:10" ht="12.75">
      <c r="B92" s="58"/>
      <c r="C92" s="58"/>
      <c r="D92" s="58"/>
      <c r="H92" s="58"/>
      <c r="I92" s="58"/>
      <c r="J92" s="58"/>
    </row>
    <row r="93" spans="2:10" ht="12.75">
      <c r="B93" s="58"/>
      <c r="C93" s="58"/>
      <c r="D93" s="58"/>
      <c r="H93" s="58"/>
      <c r="I93" s="58"/>
      <c r="J93" s="58"/>
    </row>
    <row r="94" spans="1:10" ht="12.75">
      <c r="A94" s="59"/>
      <c r="B94" s="58"/>
      <c r="C94" s="58"/>
      <c r="D94" s="58"/>
      <c r="H94" s="58"/>
      <c r="I94" s="58"/>
      <c r="J94" s="58"/>
    </row>
    <row r="95" spans="2:10" ht="12.75">
      <c r="B95" s="58"/>
      <c r="C95" s="58"/>
      <c r="D95" s="58"/>
      <c r="H95" s="58"/>
      <c r="I95" s="58"/>
      <c r="J95" s="58"/>
    </row>
    <row r="96" spans="2:10" ht="12.75">
      <c r="B96" s="58"/>
      <c r="C96" s="58"/>
      <c r="D96" s="58"/>
      <c r="H96" s="58"/>
      <c r="I96" s="58"/>
      <c r="J96" s="58"/>
    </row>
    <row r="97" spans="2:10" ht="12.75">
      <c r="B97" s="58"/>
      <c r="C97" s="58"/>
      <c r="D97" s="58"/>
      <c r="H97" s="58"/>
      <c r="I97" s="58"/>
      <c r="J97" s="58"/>
    </row>
    <row r="98" spans="2:10" ht="12.75">
      <c r="B98" s="58"/>
      <c r="C98" s="58"/>
      <c r="D98" s="58"/>
      <c r="H98" s="58"/>
      <c r="I98" s="58"/>
      <c r="J98" s="58"/>
    </row>
    <row r="99" spans="2:10" ht="12.75">
      <c r="B99" s="58"/>
      <c r="C99" s="58"/>
      <c r="D99" s="58"/>
      <c r="H99" s="58"/>
      <c r="I99" s="58"/>
      <c r="J99" s="58"/>
    </row>
    <row r="100" spans="8:10" ht="12.75">
      <c r="H100" s="58"/>
      <c r="I100" s="58"/>
      <c r="J100" s="58"/>
    </row>
  </sheetData>
  <sheetProtection/>
  <mergeCells count="17">
    <mergeCell ref="A1:J1"/>
    <mergeCell ref="A2:A3"/>
    <mergeCell ref="B2:D2"/>
    <mergeCell ref="E2:G2"/>
    <mergeCell ref="H2:J2"/>
    <mergeCell ref="A35:J35"/>
    <mergeCell ref="A32:H32"/>
    <mergeCell ref="A33:E33"/>
    <mergeCell ref="A36:A37"/>
    <mergeCell ref="B36:D36"/>
    <mergeCell ref="E36:G36"/>
    <mergeCell ref="H36:J36"/>
    <mergeCell ref="A7:J7"/>
    <mergeCell ref="A8:A9"/>
    <mergeCell ref="B8:D8"/>
    <mergeCell ref="E8:G8"/>
    <mergeCell ref="H8:J8"/>
  </mergeCells>
  <printOptions/>
  <pageMargins left="0" right="0" top="0" bottom="0" header="0" footer="0"/>
  <pageSetup fitToHeight="2"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2:J77"/>
  <sheetViews>
    <sheetView zoomScalePageLayoutView="0" workbookViewId="0" topLeftCell="A40">
      <selection activeCell="A33" sqref="A33"/>
    </sheetView>
  </sheetViews>
  <sheetFormatPr defaultColWidth="9.140625" defaultRowHeight="12.75"/>
  <cols>
    <col min="1" max="1" width="25.57421875" style="58" customWidth="1"/>
    <col min="2" max="2" width="8.140625" style="60" customWidth="1"/>
    <col min="3" max="3" width="9.7109375" style="60" customWidth="1"/>
    <col min="4" max="5" width="8.140625" style="60" customWidth="1"/>
    <col min="6" max="6" width="9.7109375" style="60" customWidth="1"/>
    <col min="7" max="7" width="8.140625" style="60" customWidth="1"/>
    <col min="8" max="8" width="9.140625" style="58" customWidth="1"/>
    <col min="9" max="9" width="9.57421875" style="58" customWidth="1"/>
    <col min="10" max="10" width="11.421875" style="58" customWidth="1"/>
    <col min="11" max="16384" width="9.140625" style="58" customWidth="1"/>
  </cols>
  <sheetData>
    <row r="1" ht="11.25"/>
    <row r="2" spans="1:10" ht="24" customHeight="1">
      <c r="A2" s="751" t="s">
        <v>370</v>
      </c>
      <c r="B2" s="751"/>
      <c r="C2" s="751"/>
      <c r="D2" s="751"/>
      <c r="E2" s="751"/>
      <c r="F2" s="751"/>
      <c r="G2" s="751"/>
      <c r="H2" s="751"/>
      <c r="I2" s="751"/>
      <c r="J2" s="751"/>
    </row>
    <row r="3" spans="1:10" ht="11.25">
      <c r="A3" s="738" t="s">
        <v>37</v>
      </c>
      <c r="B3" s="750" t="s">
        <v>365</v>
      </c>
      <c r="C3" s="748"/>
      <c r="D3" s="749"/>
      <c r="E3" s="748" t="s">
        <v>298</v>
      </c>
      <c r="F3" s="748"/>
      <c r="G3" s="749"/>
      <c r="H3" s="729" t="s">
        <v>226</v>
      </c>
      <c r="I3" s="730"/>
      <c r="J3" s="731"/>
    </row>
    <row r="4" spans="1:10" ht="29.25" customHeight="1">
      <c r="A4" s="752"/>
      <c r="B4" s="80" t="s">
        <v>223</v>
      </c>
      <c r="C4" s="80" t="s">
        <v>224</v>
      </c>
      <c r="D4" s="80" t="s">
        <v>225</v>
      </c>
      <c r="E4" s="80" t="s">
        <v>223</v>
      </c>
      <c r="F4" s="80" t="s">
        <v>224</v>
      </c>
      <c r="G4" s="80" t="s">
        <v>225</v>
      </c>
      <c r="H4" s="77" t="s">
        <v>223</v>
      </c>
      <c r="I4" s="77" t="s">
        <v>224</v>
      </c>
      <c r="J4" s="77" t="s">
        <v>225</v>
      </c>
    </row>
    <row r="5" spans="1:10" ht="19.5" customHeight="1">
      <c r="A5" s="61" t="s">
        <v>137</v>
      </c>
      <c r="B5" s="221">
        <v>1.1804798255179934</v>
      </c>
      <c r="C5" s="72">
        <v>0.2524339765638664</v>
      </c>
      <c r="D5" s="72">
        <v>3.2893223305826456</v>
      </c>
      <c r="E5" s="221">
        <v>1.4284140969162995</v>
      </c>
      <c r="F5" s="72">
        <v>0.2778045515394913</v>
      </c>
      <c r="G5" s="72">
        <v>3.2346938775510203</v>
      </c>
      <c r="H5" s="72">
        <f>(E5-F6)/F6</f>
        <v>3.0513943564428616</v>
      </c>
      <c r="I5" s="72">
        <f aca="true" t="shared" si="0" ref="H5:J6">(F5-C5)/C5</f>
        <v>0.10050380428565675</v>
      </c>
      <c r="J5" s="72">
        <f t="shared" si="0"/>
        <v>-0.016607813872089802</v>
      </c>
    </row>
    <row r="6" spans="1:10" ht="19.5" customHeight="1">
      <c r="A6" s="62" t="s">
        <v>138</v>
      </c>
      <c r="B6" s="221">
        <v>0.7549212598425197</v>
      </c>
      <c r="C6" s="72">
        <v>0.2985016540182915</v>
      </c>
      <c r="D6" s="72">
        <v>1.8822209758833426</v>
      </c>
      <c r="E6" s="221">
        <v>1.0994152046783625</v>
      </c>
      <c r="F6" s="72">
        <v>0.3525734528026672</v>
      </c>
      <c r="G6" s="72">
        <v>1.9705973382853605</v>
      </c>
      <c r="H6" s="72">
        <f t="shared" si="0"/>
        <v>0.45633096212935637</v>
      </c>
      <c r="I6" s="72">
        <f t="shared" si="0"/>
        <v>0.1811440508167581</v>
      </c>
      <c r="J6" s="72">
        <f t="shared" si="0"/>
        <v>0.04695323425589929</v>
      </c>
    </row>
    <row r="7" spans="2:7" ht="11.25">
      <c r="B7" s="87"/>
      <c r="C7" s="87"/>
      <c r="D7" s="88"/>
      <c r="E7" s="87"/>
      <c r="F7" s="87"/>
      <c r="G7" s="88"/>
    </row>
    <row r="8" ht="11.25"/>
    <row r="9" spans="1:10" ht="11.25" customHeight="1">
      <c r="A9" s="738" t="s">
        <v>37</v>
      </c>
      <c r="B9" s="753" t="s">
        <v>365</v>
      </c>
      <c r="C9" s="748"/>
      <c r="D9" s="749"/>
      <c r="E9" s="747" t="s">
        <v>298</v>
      </c>
      <c r="F9" s="748"/>
      <c r="G9" s="749"/>
      <c r="H9" s="729" t="s">
        <v>226</v>
      </c>
      <c r="I9" s="730"/>
      <c r="J9" s="731"/>
    </row>
    <row r="10" spans="1:10" ht="26.25" customHeight="1">
      <c r="A10" s="752"/>
      <c r="B10" s="80" t="s">
        <v>223</v>
      </c>
      <c r="C10" s="80" t="s">
        <v>224</v>
      </c>
      <c r="D10" s="80" t="s">
        <v>225</v>
      </c>
      <c r="E10" s="80" t="s">
        <v>223</v>
      </c>
      <c r="F10" s="80" t="s">
        <v>224</v>
      </c>
      <c r="G10" s="80" t="s">
        <v>225</v>
      </c>
      <c r="H10" s="77" t="s">
        <v>223</v>
      </c>
      <c r="I10" s="77" t="s">
        <v>224</v>
      </c>
      <c r="J10" s="77" t="s">
        <v>225</v>
      </c>
    </row>
    <row r="11" spans="1:10" s="59" customFormat="1" ht="11.25">
      <c r="A11" s="65" t="s">
        <v>139</v>
      </c>
      <c r="B11" s="662">
        <v>0.8185115529285331</v>
      </c>
      <c r="C11" s="662">
        <v>0.37419394460480254</v>
      </c>
      <c r="D11" s="664">
        <v>1.4057028883799956</v>
      </c>
      <c r="E11" s="662">
        <v>0.967664002973425</v>
      </c>
      <c r="F11" s="662">
        <v>0.37071052256870285</v>
      </c>
      <c r="G11" s="664">
        <v>1.6531922931620702</v>
      </c>
      <c r="H11" s="662">
        <f aca="true" t="shared" si="1" ref="H11:H32">(E11-B11)/B11</f>
        <v>0.1822240010067579</v>
      </c>
      <c r="I11" s="662">
        <f aca="true" t="shared" si="2" ref="I11:I32">(F11-C11)/C11</f>
        <v>-0.009309135239424142</v>
      </c>
      <c r="J11" s="662">
        <f aca="true" t="shared" si="3" ref="J11:J32">(G11-D11)/D11</f>
        <v>0.17606096339980787</v>
      </c>
    </row>
    <row r="12" spans="1:10" ht="22.5">
      <c r="A12" s="63" t="s">
        <v>140</v>
      </c>
      <c r="B12" s="662">
        <v>0.8984375</v>
      </c>
      <c r="C12" s="662">
        <v>0.05715705765407555</v>
      </c>
      <c r="D12" s="664">
        <v>15.559670781893004</v>
      </c>
      <c r="E12" s="662">
        <v>1.0269687162891046</v>
      </c>
      <c r="F12" s="662">
        <v>0.33568406205923834</v>
      </c>
      <c r="G12" s="664">
        <v>2.018626929217669</v>
      </c>
      <c r="H12" s="662">
        <f t="shared" si="1"/>
        <v>0.1430608320435251</v>
      </c>
      <c r="I12" s="662">
        <f t="shared" si="2"/>
        <v>4.873011590114674</v>
      </c>
      <c r="J12" s="662">
        <f t="shared" si="3"/>
        <v>-0.870265447289105</v>
      </c>
    </row>
    <row r="13" spans="1:10" ht="23.25" thickBot="1">
      <c r="A13" s="231" t="s">
        <v>141</v>
      </c>
      <c r="B13" s="667">
        <v>0.8198626518753301</v>
      </c>
      <c r="C13" s="667">
        <v>0.33932768515987977</v>
      </c>
      <c r="D13" s="668">
        <v>1.6552975326560233</v>
      </c>
      <c r="E13" s="667">
        <v>0.9763792010145846</v>
      </c>
      <c r="F13" s="667">
        <v>0.36482644236464873</v>
      </c>
      <c r="G13" s="668">
        <v>1.7082698323574237</v>
      </c>
      <c r="H13" s="667">
        <f t="shared" si="1"/>
        <v>0.19090581670142318</v>
      </c>
      <c r="I13" s="667">
        <f t="shared" si="2"/>
        <v>0.07514493606012373</v>
      </c>
      <c r="J13" s="667">
        <f t="shared" si="3"/>
        <v>0.03200167864468642</v>
      </c>
    </row>
    <row r="14" spans="1:10" s="59" customFormat="1" ht="11.25">
      <c r="A14" s="230" t="s">
        <v>142</v>
      </c>
      <c r="B14" s="672">
        <v>0.7741582777212231</v>
      </c>
      <c r="C14" s="665">
        <v>0.341502357568752</v>
      </c>
      <c r="D14" s="666">
        <v>1.5554870792247535</v>
      </c>
      <c r="E14" s="672">
        <v>0.8292227811130942</v>
      </c>
      <c r="F14" s="665">
        <v>0.31684835959700336</v>
      </c>
      <c r="G14" s="666">
        <v>1.8614301976611818</v>
      </c>
      <c r="H14" s="665">
        <f t="shared" si="1"/>
        <v>0.0711282240034382</v>
      </c>
      <c r="I14" s="665">
        <f t="shared" si="2"/>
        <v>-0.07219276068038642</v>
      </c>
      <c r="J14" s="665">
        <f t="shared" si="3"/>
        <v>0.19668637722719542</v>
      </c>
    </row>
    <row r="15" spans="1:10" ht="11.25">
      <c r="A15" s="63" t="s">
        <v>143</v>
      </c>
      <c r="B15" s="75" t="s">
        <v>458</v>
      </c>
      <c r="C15" s="72" t="s">
        <v>458</v>
      </c>
      <c r="D15" s="73" t="s">
        <v>458</v>
      </c>
      <c r="E15" s="662">
        <v>1.2514642717688402</v>
      </c>
      <c r="F15" s="72">
        <v>0.563665142455153</v>
      </c>
      <c r="G15" s="73">
        <v>0.9722511272979535</v>
      </c>
      <c r="H15" s="662" t="s">
        <v>458</v>
      </c>
      <c r="I15" s="662" t="s">
        <v>458</v>
      </c>
      <c r="J15" s="662" t="s">
        <v>458</v>
      </c>
    </row>
    <row r="16" spans="1:10" ht="11.25">
      <c r="A16" s="63" t="s">
        <v>144</v>
      </c>
      <c r="B16" s="662">
        <v>15.55</v>
      </c>
      <c r="C16" s="72">
        <v>0.8497267759562842</v>
      </c>
      <c r="D16" s="73">
        <v>1.2114803625377644</v>
      </c>
      <c r="E16" s="662">
        <v>0.7174280879864636</v>
      </c>
      <c r="F16" s="72">
        <v>0.32893716058960437</v>
      </c>
      <c r="G16" s="73">
        <v>1.5399014778325124</v>
      </c>
      <c r="H16" s="72">
        <f t="shared" si="1"/>
        <v>-0.9538631454671084</v>
      </c>
      <c r="I16" s="72">
        <f t="shared" si="2"/>
        <v>-0.6128906727466392</v>
      </c>
      <c r="J16" s="72">
        <f t="shared" si="3"/>
        <v>0.27109074604130073</v>
      </c>
    </row>
    <row r="17" spans="1:10" ht="22.5">
      <c r="A17" s="63" t="s">
        <v>145</v>
      </c>
      <c r="B17" s="75" t="s">
        <v>458</v>
      </c>
      <c r="C17" s="72" t="s">
        <v>458</v>
      </c>
      <c r="D17" s="73" t="s">
        <v>458</v>
      </c>
      <c r="E17" s="662">
        <v>1.5064516129032257</v>
      </c>
      <c r="F17" s="72">
        <v>0.7188301693175988</v>
      </c>
      <c r="G17" s="73">
        <v>0.6722436722436722</v>
      </c>
      <c r="H17" s="72" t="s">
        <v>458</v>
      </c>
      <c r="I17" s="72" t="s">
        <v>458</v>
      </c>
      <c r="J17" s="72" t="s">
        <v>458</v>
      </c>
    </row>
    <row r="18" spans="1:10" ht="11.25">
      <c r="A18" s="63" t="s">
        <v>146</v>
      </c>
      <c r="B18" s="75" t="s">
        <v>458</v>
      </c>
      <c r="C18" s="72" t="s">
        <v>458</v>
      </c>
      <c r="D18" s="73" t="s">
        <v>458</v>
      </c>
      <c r="E18" s="662">
        <v>1.1455805892547661</v>
      </c>
      <c r="F18" s="72">
        <v>0.4303385416666667</v>
      </c>
      <c r="G18" s="73">
        <v>1.481421647819063</v>
      </c>
      <c r="H18" s="72" t="s">
        <v>458</v>
      </c>
      <c r="I18" s="72" t="s">
        <v>458</v>
      </c>
      <c r="J18" s="72" t="s">
        <v>458</v>
      </c>
    </row>
    <row r="19" spans="1:10" ht="11.25">
      <c r="A19" s="63" t="s">
        <v>147</v>
      </c>
      <c r="B19" s="75" t="s">
        <v>458</v>
      </c>
      <c r="C19" s="72" t="s">
        <v>458</v>
      </c>
      <c r="D19" s="73" t="s">
        <v>458</v>
      </c>
      <c r="E19" s="662">
        <v>1.065437239738251</v>
      </c>
      <c r="F19" s="72">
        <v>0.3379245283018868</v>
      </c>
      <c r="G19" s="73">
        <v>2.052995391705069</v>
      </c>
      <c r="H19" s="72" t="s">
        <v>458</v>
      </c>
      <c r="I19" s="72" t="s">
        <v>458</v>
      </c>
      <c r="J19" s="72" t="s">
        <v>458</v>
      </c>
    </row>
    <row r="20" spans="1:10" ht="22.5">
      <c r="A20" s="63" t="s">
        <v>148</v>
      </c>
      <c r="B20" s="75" t="s">
        <v>458</v>
      </c>
      <c r="C20" s="72" t="s">
        <v>458</v>
      </c>
      <c r="D20" s="73" t="s">
        <v>458</v>
      </c>
      <c r="E20" s="662">
        <v>1.1076233183856503</v>
      </c>
      <c r="F20" s="72">
        <v>0.4834335243953586</v>
      </c>
      <c r="G20" s="73">
        <v>1.1741641337386017</v>
      </c>
      <c r="H20" s="72" t="s">
        <v>458</v>
      </c>
      <c r="I20" s="72" t="s">
        <v>458</v>
      </c>
      <c r="J20" s="72" t="s">
        <v>458</v>
      </c>
    </row>
    <row r="21" spans="1:10" ht="11.25">
      <c r="A21" s="63" t="s">
        <v>149</v>
      </c>
      <c r="B21" s="662">
        <v>2.6231884057971016</v>
      </c>
      <c r="C21" s="662">
        <v>0.07621052631578948</v>
      </c>
      <c r="D21" s="664">
        <v>18</v>
      </c>
      <c r="E21" s="662">
        <v>1.0448160535117057</v>
      </c>
      <c r="F21" s="662">
        <v>0.40382626680455014</v>
      </c>
      <c r="G21" s="664">
        <v>1.5305855413804383</v>
      </c>
      <c r="H21" s="662">
        <f t="shared" si="1"/>
        <v>-0.6016999575010625</v>
      </c>
      <c r="I21" s="662">
        <f t="shared" si="2"/>
        <v>4.298825324092853</v>
      </c>
      <c r="J21" s="662">
        <f t="shared" si="3"/>
        <v>-0.9149674699233089</v>
      </c>
    </row>
    <row r="22" spans="1:10" ht="12" thickBot="1">
      <c r="A22" s="231" t="s">
        <v>150</v>
      </c>
      <c r="B22" s="667">
        <v>0.8043220896363807</v>
      </c>
      <c r="C22" s="667">
        <v>0.3439127081056759</v>
      </c>
      <c r="D22" s="668">
        <v>1.5923742670568752</v>
      </c>
      <c r="E22" s="667">
        <v>0.8982607262086304</v>
      </c>
      <c r="F22" s="667">
        <v>0.34914493972525934</v>
      </c>
      <c r="G22" s="668">
        <v>1.7106334473212832</v>
      </c>
      <c r="H22" s="667">
        <f t="shared" si="1"/>
        <v>0.11679231216280234</v>
      </c>
      <c r="I22" s="667">
        <f t="shared" si="2"/>
        <v>0.015213836233046904</v>
      </c>
      <c r="J22" s="667">
        <f t="shared" si="3"/>
        <v>0.07426594533142131</v>
      </c>
    </row>
    <row r="23" spans="1:10" ht="12.75" thickBot="1" thickTop="1">
      <c r="A23" s="581" t="s">
        <v>466</v>
      </c>
      <c r="B23" s="669">
        <v>2.850669412976313</v>
      </c>
      <c r="C23" s="675">
        <v>0.33038911434709956</v>
      </c>
      <c r="D23" s="676">
        <v>3.481412142284033</v>
      </c>
      <c r="E23" s="675">
        <v>0.9074678441159532</v>
      </c>
      <c r="F23" s="675">
        <v>0.38956650733476184</v>
      </c>
      <c r="G23" s="676">
        <v>1.4424315619967794</v>
      </c>
      <c r="H23" s="675">
        <f t="shared" si="1"/>
        <v>-0.6816650012151045</v>
      </c>
      <c r="I23" s="675">
        <f t="shared" si="2"/>
        <v>0.1791142335443044</v>
      </c>
      <c r="J23" s="675">
        <f t="shared" si="3"/>
        <v>-0.5856762994310549</v>
      </c>
    </row>
    <row r="24" spans="1:10" ht="11.25">
      <c r="A24" s="66" t="s">
        <v>152</v>
      </c>
      <c r="B24" s="672">
        <v>0.7595739284808521</v>
      </c>
      <c r="C24" s="665">
        <v>0.4128187456926258</v>
      </c>
      <c r="D24" s="666">
        <v>1.091380801383684</v>
      </c>
      <c r="E24" s="672">
        <v>0.9342018830742281</v>
      </c>
      <c r="F24" s="665">
        <v>0.3917634635691658</v>
      </c>
      <c r="G24" s="666">
        <v>1.4657270617535518</v>
      </c>
      <c r="H24" s="665">
        <f t="shared" si="1"/>
        <v>0.22990251250807398</v>
      </c>
      <c r="I24" s="665">
        <f t="shared" si="2"/>
        <v>-0.05100369676317266</v>
      </c>
      <c r="J24" s="665">
        <f t="shared" si="3"/>
        <v>0.3430024239891894</v>
      </c>
    </row>
    <row r="25" spans="1:10" ht="11.25">
      <c r="A25" s="63" t="s">
        <v>153</v>
      </c>
      <c r="B25" s="662">
        <v>7.306748466257669</v>
      </c>
      <c r="C25" s="662">
        <v>1</v>
      </c>
      <c r="D25" s="664">
        <v>0.7592319054652881</v>
      </c>
      <c r="E25" s="662">
        <v>0.9043956043956044</v>
      </c>
      <c r="F25" s="662">
        <v>0.44462452728255</v>
      </c>
      <c r="G25" s="664">
        <v>1.1361800346220428</v>
      </c>
      <c r="H25" s="662">
        <f t="shared" si="1"/>
        <v>-0.8762246150155469</v>
      </c>
      <c r="I25" s="662">
        <f t="shared" si="2"/>
        <v>-0.55537547271745</v>
      </c>
      <c r="J25" s="662">
        <f t="shared" si="3"/>
        <v>0.4964861545508228</v>
      </c>
    </row>
    <row r="26" spans="1:10" ht="12" thickBot="1">
      <c r="A26" s="231" t="s">
        <v>154</v>
      </c>
      <c r="B26" s="673">
        <v>0.8921605168343893</v>
      </c>
      <c r="C26" s="673">
        <v>0.45735940385962676</v>
      </c>
      <c r="D26" s="674">
        <v>1.0618516086671044</v>
      </c>
      <c r="E26" s="673">
        <v>0.9292495891911631</v>
      </c>
      <c r="F26" s="673">
        <v>0.3994427657654122</v>
      </c>
      <c r="G26" s="674">
        <v>1.4116784176406567</v>
      </c>
      <c r="H26" s="673">
        <f t="shared" si="1"/>
        <v>0.04157219654639628</v>
      </c>
      <c r="I26" s="673">
        <f t="shared" si="2"/>
        <v>-0.12663266045359456</v>
      </c>
      <c r="J26" s="673">
        <f t="shared" si="3"/>
        <v>0.329449808351917</v>
      </c>
    </row>
    <row r="27" spans="1:10" ht="11.25">
      <c r="A27" s="66" t="s">
        <v>155</v>
      </c>
      <c r="B27" s="672">
        <v>0.7086403215003348</v>
      </c>
      <c r="C27" s="665">
        <v>0.3845298670201394</v>
      </c>
      <c r="D27" s="666">
        <v>1.157124080522056</v>
      </c>
      <c r="E27" s="672">
        <v>1.075649059982095</v>
      </c>
      <c r="F27" s="665">
        <v>0.4026137220407138</v>
      </c>
      <c r="G27" s="666">
        <v>1.57429372439077</v>
      </c>
      <c r="H27" s="665">
        <f t="shared" si="1"/>
        <v>0.5179055260427863</v>
      </c>
      <c r="I27" s="665">
        <f t="shared" si="2"/>
        <v>0.04702847963595824</v>
      </c>
      <c r="J27" s="665">
        <f t="shared" si="3"/>
        <v>0.36052282628194976</v>
      </c>
    </row>
    <row r="28" spans="1:10" ht="11.25">
      <c r="A28" s="63" t="s">
        <v>156</v>
      </c>
      <c r="B28" s="662">
        <v>15.4609375</v>
      </c>
      <c r="C28" s="662">
        <v>0.8807298620382733</v>
      </c>
      <c r="D28" s="664">
        <v>1.132890365448505</v>
      </c>
      <c r="E28" s="662">
        <v>0.9837345478204295</v>
      </c>
      <c r="F28" s="662">
        <v>0.4164142109611677</v>
      </c>
      <c r="G28" s="664">
        <v>1.3817645129550673</v>
      </c>
      <c r="H28" s="662">
        <f>(E28-B28)/B28</f>
        <v>-0.9363729044360712</v>
      </c>
      <c r="I28" s="662">
        <f>(F28-C28)/C28</f>
        <v>-0.5271941727995231</v>
      </c>
      <c r="J28" s="662">
        <f>(G28-D28)/D28</f>
        <v>0.21968069911869578</v>
      </c>
    </row>
    <row r="29" spans="1:10" s="262" customFormat="1" ht="11.25">
      <c r="A29" s="219" t="s">
        <v>157</v>
      </c>
      <c r="B29" s="662">
        <v>9.393501805054152</v>
      </c>
      <c r="C29" s="72">
        <v>0.8396256857050661</v>
      </c>
      <c r="D29" s="73">
        <v>1.1528308440430706</v>
      </c>
      <c r="E29" s="662">
        <v>1.3825315273236805</v>
      </c>
      <c r="F29" s="662">
        <v>0.5119335869941197</v>
      </c>
      <c r="G29" s="664">
        <v>1.2670064693197411</v>
      </c>
      <c r="H29" s="662">
        <f t="shared" si="1"/>
        <v>-0.8528204331019756</v>
      </c>
      <c r="I29" s="662">
        <f t="shared" si="2"/>
        <v>-0.39028355645857915</v>
      </c>
      <c r="J29" s="662">
        <f t="shared" si="3"/>
        <v>0.09903935678563862</v>
      </c>
    </row>
    <row r="30" spans="1:10" s="90" customFormat="1" ht="11.25">
      <c r="A30" s="219" t="s">
        <v>158</v>
      </c>
      <c r="B30" s="662">
        <v>21.017857142857142</v>
      </c>
      <c r="C30" s="662">
        <v>0.8770491803278688</v>
      </c>
      <c r="D30" s="664">
        <v>1.1768045417680455</v>
      </c>
      <c r="E30" s="662">
        <v>1.7914893617021277</v>
      </c>
      <c r="F30" s="662">
        <v>0.3956766917293233</v>
      </c>
      <c r="G30" s="664">
        <v>2.2439024390243905</v>
      </c>
      <c r="H30" s="662">
        <f t="shared" si="1"/>
        <v>-0.9147634628247077</v>
      </c>
      <c r="I30" s="662">
        <f t="shared" si="2"/>
        <v>-0.5488546131684351</v>
      </c>
      <c r="J30" s="662">
        <f t="shared" si="3"/>
        <v>0.9067758148291338</v>
      </c>
    </row>
    <row r="31" spans="1:10" ht="23.25" thickBot="1">
      <c r="A31" s="231" t="s">
        <v>159</v>
      </c>
      <c r="B31" s="667">
        <v>0.9622750791566916</v>
      </c>
      <c r="C31" s="667">
        <v>0.4547295817823517</v>
      </c>
      <c r="D31" s="668">
        <v>1.1568311064759245</v>
      </c>
      <c r="E31" s="673">
        <v>1.1416047053601155</v>
      </c>
      <c r="F31" s="667">
        <v>0.4158043654001617</v>
      </c>
      <c r="G31" s="668">
        <v>1.5639962690434241</v>
      </c>
      <c r="H31" s="667">
        <f t="shared" si="1"/>
        <v>0.18636004411605758</v>
      </c>
      <c r="I31" s="667">
        <f t="shared" si="2"/>
        <v>-0.08560080087514706</v>
      </c>
      <c r="J31" s="667">
        <f t="shared" si="3"/>
        <v>0.3519659527550692</v>
      </c>
    </row>
    <row r="32" spans="1:10" ht="11.25">
      <c r="A32" s="178" t="s">
        <v>285</v>
      </c>
      <c r="B32" s="677">
        <v>0.877662547949959</v>
      </c>
      <c r="C32" s="677">
        <v>0.3836812943729328</v>
      </c>
      <c r="D32" s="678">
        <v>1.4365166953263353</v>
      </c>
      <c r="E32" s="677">
        <v>0.9574135858636921</v>
      </c>
      <c r="F32" s="677">
        <v>0.37246093067160785</v>
      </c>
      <c r="G32" s="678">
        <v>1.6264325928136496</v>
      </c>
      <c r="H32" s="255">
        <f t="shared" si="1"/>
        <v>0.09086754140303155</v>
      </c>
      <c r="I32" s="255">
        <f t="shared" si="2"/>
        <v>-0.029243968538166257</v>
      </c>
      <c r="J32" s="255">
        <f t="shared" si="3"/>
        <v>0.13220584077108194</v>
      </c>
    </row>
    <row r="33" ht="11.25">
      <c r="A33" s="58" t="s">
        <v>488</v>
      </c>
    </row>
    <row r="34" spans="2:10" ht="11.25">
      <c r="B34" s="750" t="s">
        <v>365</v>
      </c>
      <c r="C34" s="748"/>
      <c r="D34" s="749"/>
      <c r="E34" s="748" t="s">
        <v>298</v>
      </c>
      <c r="F34" s="748"/>
      <c r="G34" s="749"/>
      <c r="H34" s="729" t="s">
        <v>226</v>
      </c>
      <c r="I34" s="730"/>
      <c r="J34" s="731"/>
    </row>
    <row r="35" spans="1:10" ht="33.75">
      <c r="A35" s="352" t="s">
        <v>37</v>
      </c>
      <c r="B35" s="80" t="s">
        <v>223</v>
      </c>
      <c r="C35" s="80" t="s">
        <v>224</v>
      </c>
      <c r="D35" s="80" t="s">
        <v>225</v>
      </c>
      <c r="E35" s="80" t="s">
        <v>223</v>
      </c>
      <c r="F35" s="80" t="s">
        <v>224</v>
      </c>
      <c r="G35" s="80" t="s">
        <v>225</v>
      </c>
      <c r="H35" s="77" t="s">
        <v>223</v>
      </c>
      <c r="I35" s="77" t="s">
        <v>224</v>
      </c>
      <c r="J35" s="77" t="s">
        <v>225</v>
      </c>
    </row>
    <row r="36" spans="1:10" ht="11.25">
      <c r="A36" s="63" t="s">
        <v>161</v>
      </c>
      <c r="B36" s="72">
        <v>0.9661610268378062</v>
      </c>
      <c r="C36" s="72">
        <v>0.7472924187725631</v>
      </c>
      <c r="D36" s="73">
        <v>0.31513353115727005</v>
      </c>
      <c r="E36" s="72">
        <v>1.2344322344322345</v>
      </c>
      <c r="F36" s="72">
        <v>0.8011093502377179</v>
      </c>
      <c r="G36" s="73">
        <v>0.37923497267759565</v>
      </c>
      <c r="H36" s="72">
        <f aca="true" t="shared" si="4" ref="H36:H75">(E36-B36)/B36</f>
        <v>0.277667179841093</v>
      </c>
      <c r="I36" s="72">
        <f aca="true" t="shared" si="5" ref="I36:I75">(F36-C36)/C36</f>
        <v>0.07201589379636651</v>
      </c>
      <c r="J36" s="72">
        <f aca="true" t="shared" si="6" ref="J36:J75">(G36-D36)/D36</f>
        <v>0.20341041235734203</v>
      </c>
    </row>
    <row r="37" spans="1:10" ht="22.5">
      <c r="A37" s="63" t="s">
        <v>162</v>
      </c>
      <c r="B37" s="72">
        <v>1.42</v>
      </c>
      <c r="C37" s="72">
        <v>0.7208121827411168</v>
      </c>
      <c r="D37" s="73">
        <v>0.628099173553719</v>
      </c>
      <c r="E37" s="72">
        <v>1.0862068965517242</v>
      </c>
      <c r="F37" s="72">
        <v>0.6608391608391608</v>
      </c>
      <c r="G37" s="73">
        <v>0.5757575757575758</v>
      </c>
      <c r="H37" s="72">
        <f t="shared" si="4"/>
        <v>-0.2350655658086449</v>
      </c>
      <c r="I37" s="72">
        <f t="shared" si="5"/>
        <v>-0.08320200925834736</v>
      </c>
      <c r="J37" s="72">
        <f t="shared" si="6"/>
        <v>-0.08333333333333329</v>
      </c>
    </row>
    <row r="38" spans="1:10" ht="22.5">
      <c r="A38" s="63" t="s">
        <v>163</v>
      </c>
      <c r="B38" s="662">
        <v>1.1111111111111112</v>
      </c>
      <c r="C38" s="662">
        <v>0.24691358024691357</v>
      </c>
      <c r="D38" s="664">
        <v>3.263157894736842</v>
      </c>
      <c r="E38" s="662">
        <v>1.162303664921466</v>
      </c>
      <c r="F38" s="662">
        <v>0.6379310344827587</v>
      </c>
      <c r="G38" s="664">
        <v>0.6852300242130751</v>
      </c>
      <c r="H38" s="662">
        <f>(E38-B38)/B38</f>
        <v>0.04607329842931933</v>
      </c>
      <c r="I38" s="662">
        <f>(F38-C38)/C38</f>
        <v>1.5836206896551728</v>
      </c>
      <c r="J38" s="662">
        <f>(G38-D38)/D38</f>
        <v>-0.7900101538701866</v>
      </c>
    </row>
    <row r="39" spans="1:10" s="262" customFormat="1" ht="11.25">
      <c r="A39" s="538" t="s">
        <v>164</v>
      </c>
      <c r="B39" s="72" t="s">
        <v>458</v>
      </c>
      <c r="C39" s="72" t="s">
        <v>458</v>
      </c>
      <c r="D39" s="73" t="s">
        <v>458</v>
      </c>
      <c r="E39" s="72" t="s">
        <v>458</v>
      </c>
      <c r="F39" s="72" t="s">
        <v>458</v>
      </c>
      <c r="G39" s="73" t="s">
        <v>458</v>
      </c>
      <c r="H39" s="72" t="s">
        <v>458</v>
      </c>
      <c r="I39" s="72" t="s">
        <v>458</v>
      </c>
      <c r="J39" s="72" t="s">
        <v>458</v>
      </c>
    </row>
    <row r="40" spans="1:10" ht="11.25">
      <c r="A40" s="63" t="s">
        <v>165</v>
      </c>
      <c r="B40" s="72">
        <v>1.7777777777777777</v>
      </c>
      <c r="C40" s="72">
        <v>0.1807909604519774</v>
      </c>
      <c r="D40" s="73">
        <v>6.08</v>
      </c>
      <c r="E40" s="72">
        <v>1.0333333333333334</v>
      </c>
      <c r="F40" s="72">
        <v>0.47639956092206365</v>
      </c>
      <c r="G40" s="73">
        <v>1.1334894613583137</v>
      </c>
      <c r="H40" s="72">
        <f t="shared" si="4"/>
        <v>-0.4187499999999999</v>
      </c>
      <c r="I40" s="72">
        <f t="shared" si="5"/>
        <v>1.6350850713501646</v>
      </c>
      <c r="J40" s="72">
        <f t="shared" si="6"/>
        <v>-0.8135708122765931</v>
      </c>
    </row>
    <row r="41" spans="1:10" ht="11.25">
      <c r="A41" s="63" t="s">
        <v>166</v>
      </c>
      <c r="B41" s="662">
        <v>2.4324324324324325</v>
      </c>
      <c r="C41" s="662">
        <v>0.7964601769911505</v>
      </c>
      <c r="D41" s="664">
        <v>0.7795275590551181</v>
      </c>
      <c r="E41" s="662">
        <v>1.3770491803278688</v>
      </c>
      <c r="F41" s="662">
        <v>0.7682926829268293</v>
      </c>
      <c r="G41" s="664">
        <v>0.5080459770114942</v>
      </c>
      <c r="H41" s="662">
        <f t="shared" si="4"/>
        <v>-0.43387978142076505</v>
      </c>
      <c r="I41" s="662">
        <f t="shared" si="5"/>
        <v>-0.03536585365853658</v>
      </c>
      <c r="J41" s="662">
        <f t="shared" si="6"/>
        <v>-0.34826425171252756</v>
      </c>
    </row>
    <row r="42" spans="1:10" ht="22.5">
      <c r="A42" s="64" t="s">
        <v>160</v>
      </c>
      <c r="B42" s="663">
        <v>1.103321033210332</v>
      </c>
      <c r="C42" s="663">
        <v>0.5665561345333965</v>
      </c>
      <c r="D42" s="670">
        <v>0.8517543859649123</v>
      </c>
      <c r="E42" s="663">
        <v>1.1796306659205371</v>
      </c>
      <c r="F42" s="663">
        <v>0.672408293460925</v>
      </c>
      <c r="G42" s="670">
        <v>0.6097560975609756</v>
      </c>
      <c r="H42" s="663">
        <f t="shared" si="4"/>
        <v>0.06916358014871431</v>
      </c>
      <c r="I42" s="663">
        <f t="shared" si="5"/>
        <v>0.18683437081606416</v>
      </c>
      <c r="J42" s="663">
        <f t="shared" si="6"/>
        <v>-0.2841174549747557</v>
      </c>
    </row>
    <row r="43" spans="1:10" ht="11.25">
      <c r="A43" s="63" t="s">
        <v>169</v>
      </c>
      <c r="B43" s="72">
        <v>0.9904761904761905</v>
      </c>
      <c r="C43" s="72">
        <v>0.6617179215270413</v>
      </c>
      <c r="D43" s="73">
        <v>0.5039872408293461</v>
      </c>
      <c r="E43" s="72">
        <v>1.0176574455562095</v>
      </c>
      <c r="F43" s="72">
        <v>0.6480509745127436</v>
      </c>
      <c r="G43" s="73">
        <v>0.5565927654609102</v>
      </c>
      <c r="H43" s="72">
        <f t="shared" si="4"/>
        <v>0.027442613301942264</v>
      </c>
      <c r="I43" s="72">
        <f t="shared" si="5"/>
        <v>-0.020653735632183888</v>
      </c>
      <c r="J43" s="72">
        <f t="shared" si="6"/>
        <v>0.10437868336705913</v>
      </c>
    </row>
    <row r="44" spans="1:10" ht="11.25">
      <c r="A44" s="63" t="s">
        <v>170</v>
      </c>
      <c r="B44" s="72">
        <v>1.0585106382978724</v>
      </c>
      <c r="C44" s="72">
        <v>0.2604712041884817</v>
      </c>
      <c r="D44" s="73">
        <v>2.9483204134366927</v>
      </c>
      <c r="E44" s="72">
        <v>1.0649717514124293</v>
      </c>
      <c r="F44" s="72">
        <v>0.24656638325703073</v>
      </c>
      <c r="G44" s="73">
        <v>3.1833105335157317</v>
      </c>
      <c r="H44" s="72">
        <f t="shared" si="4"/>
        <v>0.0061039661584758485</v>
      </c>
      <c r="I44" s="72">
        <f t="shared" si="5"/>
        <v>-0.0533833326212489</v>
      </c>
      <c r="J44" s="72">
        <f t="shared" si="6"/>
        <v>0.07970304686291681</v>
      </c>
    </row>
    <row r="45" spans="1:10" ht="11.25">
      <c r="A45" s="63" t="s">
        <v>171</v>
      </c>
      <c r="B45" s="72">
        <v>1.2255083179297597</v>
      </c>
      <c r="C45" s="72">
        <v>0.669021190716448</v>
      </c>
      <c r="D45" s="73">
        <v>0.6461794019933554</v>
      </c>
      <c r="E45" s="72">
        <v>1.0780821917808219</v>
      </c>
      <c r="F45" s="72">
        <v>0.6362166531932094</v>
      </c>
      <c r="G45" s="73">
        <v>0.6308503625576797</v>
      </c>
      <c r="H45" s="72">
        <f t="shared" si="4"/>
        <v>-0.12029794004008348</v>
      </c>
      <c r="I45" s="72">
        <f t="shared" si="5"/>
        <v>-0.04903362999325715</v>
      </c>
      <c r="J45" s="72">
        <f t="shared" si="6"/>
        <v>-0.02372257516780671</v>
      </c>
    </row>
    <row r="46" spans="1:10" ht="11.25">
      <c r="A46" s="63" t="s">
        <v>172</v>
      </c>
      <c r="B46" s="72">
        <v>1.090069284064665</v>
      </c>
      <c r="C46" s="72">
        <v>0.7625201938610663</v>
      </c>
      <c r="D46" s="73">
        <v>0.3679558011049724</v>
      </c>
      <c r="E46" s="72">
        <v>1.3775</v>
      </c>
      <c r="F46" s="72">
        <v>0.7476255088195387</v>
      </c>
      <c r="G46" s="73">
        <v>0.5499474237644585</v>
      </c>
      <c r="H46" s="72">
        <f t="shared" si="4"/>
        <v>0.26368114406779664</v>
      </c>
      <c r="I46" s="72">
        <f t="shared" si="5"/>
        <v>-0.01953349584895248</v>
      </c>
      <c r="J46" s="72">
        <f t="shared" si="6"/>
        <v>0.4946018573778826</v>
      </c>
    </row>
    <row r="47" spans="1:10" ht="11.25">
      <c r="A47" s="63" t="s">
        <v>173</v>
      </c>
      <c r="B47" s="72">
        <v>1.1915584415584415</v>
      </c>
      <c r="C47" s="72">
        <v>0.7551440329218106</v>
      </c>
      <c r="D47" s="73">
        <v>0.44</v>
      </c>
      <c r="E47" s="72">
        <v>1.1494252873563218</v>
      </c>
      <c r="F47" s="72">
        <v>0.6920415224913494</v>
      </c>
      <c r="G47" s="73">
        <v>0.5454545454545454</v>
      </c>
      <c r="H47" s="72">
        <f t="shared" si="4"/>
        <v>-0.03535970434401328</v>
      </c>
      <c r="I47" s="72">
        <f t="shared" si="5"/>
        <v>-0.08356354242289961</v>
      </c>
      <c r="J47" s="72">
        <f t="shared" si="6"/>
        <v>0.2396694214876032</v>
      </c>
    </row>
    <row r="48" spans="1:10" ht="11.25">
      <c r="A48" s="63" t="s">
        <v>168</v>
      </c>
      <c r="B48" s="662">
        <v>1.0229216933538057</v>
      </c>
      <c r="C48" s="662">
        <v>0.6654537671232876</v>
      </c>
      <c r="D48" s="664">
        <v>0.5197614529682841</v>
      </c>
      <c r="E48" s="662">
        <v>1.187247870909906</v>
      </c>
      <c r="F48" s="662">
        <v>0.6838572258439295</v>
      </c>
      <c r="G48" s="664">
        <v>0.5874788667452226</v>
      </c>
      <c r="H48" s="662">
        <f>(E48-B48)/B48</f>
        <v>0.16064394628031756</v>
      </c>
      <c r="I48" s="662">
        <f>(F48-C48)/C48</f>
        <v>0.027655503101588545</v>
      </c>
      <c r="J48" s="662">
        <f>(G48-D48)/D48</f>
        <v>0.13028556348342868</v>
      </c>
    </row>
    <row r="49" spans="1:10" s="262" customFormat="1" ht="11.25">
      <c r="A49" s="538" t="s">
        <v>174</v>
      </c>
      <c r="B49" s="72" t="s">
        <v>458</v>
      </c>
      <c r="C49" s="72" t="s">
        <v>458</v>
      </c>
      <c r="D49" s="73" t="s">
        <v>458</v>
      </c>
      <c r="E49" s="72" t="s">
        <v>458</v>
      </c>
      <c r="F49" s="72" t="s">
        <v>458</v>
      </c>
      <c r="G49" s="73" t="s">
        <v>458</v>
      </c>
      <c r="H49" s="72" t="s">
        <v>458</v>
      </c>
      <c r="I49" s="72" t="s">
        <v>458</v>
      </c>
      <c r="J49" s="72" t="s">
        <v>458</v>
      </c>
    </row>
    <row r="50" spans="1:10" ht="22.5">
      <c r="A50" s="63" t="s">
        <v>175</v>
      </c>
      <c r="B50" s="72">
        <v>0.9120879120879121</v>
      </c>
      <c r="C50" s="72">
        <v>0.5743944636678201</v>
      </c>
      <c r="D50" s="73">
        <v>0.6609195402298851</v>
      </c>
      <c r="E50" s="72">
        <v>0.9715447154471545</v>
      </c>
      <c r="F50" s="72">
        <v>0.6907514450867052</v>
      </c>
      <c r="G50" s="73">
        <v>0.4268041237113402</v>
      </c>
      <c r="H50" s="72">
        <f t="shared" si="4"/>
        <v>0.06518757958663927</v>
      </c>
      <c r="I50" s="72">
        <f t="shared" si="5"/>
        <v>0.2025732989762517</v>
      </c>
      <c r="J50" s="72">
        <f t="shared" si="6"/>
        <v>-0.3542268041237114</v>
      </c>
    </row>
    <row r="51" spans="1:10" ht="11.25">
      <c r="A51" s="63" t="s">
        <v>176</v>
      </c>
      <c r="B51" s="72">
        <v>1.0760642009769714</v>
      </c>
      <c r="C51" s="72">
        <v>0.6804942630185349</v>
      </c>
      <c r="D51" s="73">
        <v>0.5233613445378151</v>
      </c>
      <c r="E51" s="72">
        <v>1.1179775280898876</v>
      </c>
      <c r="F51" s="72">
        <v>0.7049238398866454</v>
      </c>
      <c r="G51" s="73">
        <v>0.49761273209549073</v>
      </c>
      <c r="H51" s="72">
        <f t="shared" si="4"/>
        <v>0.03895058220026516</v>
      </c>
      <c r="I51" s="72">
        <f t="shared" si="5"/>
        <v>0.035899754334071644</v>
      </c>
      <c r="J51" s="72">
        <f t="shared" si="6"/>
        <v>-0.04919853694021522</v>
      </c>
    </row>
    <row r="52" spans="1:10" ht="11.25">
      <c r="A52" s="63" t="s">
        <v>177</v>
      </c>
      <c r="B52" s="72">
        <v>1.3056379821958457</v>
      </c>
      <c r="C52" s="72">
        <v>0.4433249370277078</v>
      </c>
      <c r="D52" s="73">
        <v>1.5546975546975548</v>
      </c>
      <c r="E52" s="72">
        <v>1.8391608391608392</v>
      </c>
      <c r="F52" s="72">
        <v>0.5462097611630322</v>
      </c>
      <c r="G52" s="73">
        <v>1.3719211822660098</v>
      </c>
      <c r="H52" s="72">
        <f t="shared" si="4"/>
        <v>0.4086300063572791</v>
      </c>
      <c r="I52" s="72">
        <f t="shared" si="5"/>
        <v>0.23207542716888516</v>
      </c>
      <c r="J52" s="72">
        <f t="shared" si="6"/>
        <v>-0.11756394153916427</v>
      </c>
    </row>
    <row r="53" spans="1:10" ht="11.25">
      <c r="A53" s="63" t="s">
        <v>178</v>
      </c>
      <c r="B53" s="72">
        <v>1.096</v>
      </c>
      <c r="C53" s="72">
        <v>0.7740112994350282</v>
      </c>
      <c r="D53" s="73">
        <v>0.3511450381679389</v>
      </c>
      <c r="E53" s="72">
        <v>0.9465648854961832</v>
      </c>
      <c r="F53" s="72">
        <v>0.7126436781609196</v>
      </c>
      <c r="G53" s="73">
        <v>0.36470588235294116</v>
      </c>
      <c r="H53" s="72">
        <f t="shared" si="4"/>
        <v>-0.13634590739399347</v>
      </c>
      <c r="I53" s="72">
        <f t="shared" si="5"/>
        <v>-0.07928517493078273</v>
      </c>
      <c r="J53" s="72">
        <f t="shared" si="6"/>
        <v>0.03861892583120207</v>
      </c>
    </row>
    <row r="54" spans="1:10" ht="11.25">
      <c r="A54" s="63" t="s">
        <v>179</v>
      </c>
      <c r="B54" s="662">
        <v>1.063953488372093</v>
      </c>
      <c r="C54" s="662">
        <v>0.8133333333333334</v>
      </c>
      <c r="D54" s="664">
        <v>0.2676056338028169</v>
      </c>
      <c r="E54" s="662">
        <v>1.073394495412844</v>
      </c>
      <c r="F54" s="662">
        <v>0.6882352941176471</v>
      </c>
      <c r="G54" s="664">
        <v>0.504424778761062</v>
      </c>
      <c r="H54" s="662">
        <f>(E54-B54)/B54</f>
        <v>0.00887351481425789</v>
      </c>
      <c r="I54" s="662">
        <f>(F54-C54)/C54</f>
        <v>-0.15380906460945037</v>
      </c>
      <c r="J54" s="662">
        <f>(G54-D54)/D54</f>
        <v>0.8849557522123895</v>
      </c>
    </row>
    <row r="55" spans="1:10" s="262" customFormat="1" ht="11.25">
      <c r="A55" s="538" t="s">
        <v>180</v>
      </c>
      <c r="B55" s="75" t="s">
        <v>458</v>
      </c>
      <c r="C55" s="75" t="s">
        <v>458</v>
      </c>
      <c r="D55" s="76" t="s">
        <v>458</v>
      </c>
      <c r="E55" s="75" t="s">
        <v>458</v>
      </c>
      <c r="F55" s="75" t="s">
        <v>458</v>
      </c>
      <c r="G55" s="76" t="s">
        <v>458</v>
      </c>
      <c r="H55" s="75" t="s">
        <v>458</v>
      </c>
      <c r="I55" s="75" t="s">
        <v>458</v>
      </c>
      <c r="J55" s="75" t="s">
        <v>458</v>
      </c>
    </row>
    <row r="56" spans="1:10" ht="11.25">
      <c r="A56" s="64" t="s">
        <v>167</v>
      </c>
      <c r="B56" s="663">
        <v>1.0495017046944664</v>
      </c>
      <c r="C56" s="663">
        <v>0.6299240486403526</v>
      </c>
      <c r="D56" s="670">
        <v>0.6258357593013212</v>
      </c>
      <c r="E56" s="663">
        <v>1.18666153154888</v>
      </c>
      <c r="F56" s="663">
        <v>0.645405669599218</v>
      </c>
      <c r="G56" s="670">
        <v>0.6816767451417836</v>
      </c>
      <c r="H56" s="663">
        <f t="shared" si="4"/>
        <v>0.13069042788676932</v>
      </c>
      <c r="I56" s="663">
        <f t="shared" si="5"/>
        <v>0.024576964464654766</v>
      </c>
      <c r="J56" s="663">
        <f t="shared" si="6"/>
        <v>0.08922626265843754</v>
      </c>
    </row>
    <row r="57" spans="1:10" ht="22.5">
      <c r="A57" s="63" t="s">
        <v>186</v>
      </c>
      <c r="B57" s="72">
        <v>1.8169014084507042</v>
      </c>
      <c r="C57" s="72">
        <v>0.6128266033254157</v>
      </c>
      <c r="D57" s="73">
        <v>1.105</v>
      </c>
      <c r="E57" s="72">
        <v>1.4339622641509433</v>
      </c>
      <c r="F57" s="72">
        <v>0.44970414201183434</v>
      </c>
      <c r="G57" s="73">
        <v>1.62015503875969</v>
      </c>
      <c r="H57" s="72">
        <f t="shared" si="4"/>
        <v>-0.2107649553897909</v>
      </c>
      <c r="I57" s="72">
        <f t="shared" si="5"/>
        <v>-0.26618045043805333</v>
      </c>
      <c r="J57" s="72">
        <f t="shared" si="6"/>
        <v>0.46620365498614474</v>
      </c>
    </row>
    <row r="58" spans="1:10" ht="11.25">
      <c r="A58" s="63" t="s">
        <v>187</v>
      </c>
      <c r="B58" s="72">
        <v>0.8118279569892473</v>
      </c>
      <c r="C58" s="72">
        <v>0.407557354925776</v>
      </c>
      <c r="D58" s="73">
        <v>1.198813056379822</v>
      </c>
      <c r="E58" s="72">
        <v>1.168</v>
      </c>
      <c r="F58" s="72">
        <v>0.5427509293680297</v>
      </c>
      <c r="G58" s="73">
        <v>0.985239852398524</v>
      </c>
      <c r="H58" s="72">
        <f t="shared" si="4"/>
        <v>0.43872847682119204</v>
      </c>
      <c r="I58" s="72">
        <f t="shared" si="5"/>
        <v>0.331716684310298</v>
      </c>
      <c r="J58" s="72">
        <f t="shared" si="6"/>
        <v>-0.17815388549925112</v>
      </c>
    </row>
    <row r="59" spans="1:10" ht="11.25">
      <c r="A59" s="63" t="s">
        <v>182</v>
      </c>
      <c r="B59" s="72">
        <v>1.009433962264151</v>
      </c>
      <c r="C59" s="72">
        <v>0.5944444444444444</v>
      </c>
      <c r="D59" s="73">
        <v>0.6901408450704225</v>
      </c>
      <c r="E59" s="72">
        <v>1.1094224924012157</v>
      </c>
      <c r="F59" s="72">
        <v>0.6218057921635435</v>
      </c>
      <c r="G59" s="73">
        <v>0.69164265129683</v>
      </c>
      <c r="H59" s="72">
        <f t="shared" si="4"/>
        <v>0.09905405789279302</v>
      </c>
      <c r="I59" s="72">
        <f t="shared" si="5"/>
        <v>0.046028435415306795</v>
      </c>
      <c r="J59" s="72">
        <f t="shared" si="6"/>
        <v>0.002176086572957804</v>
      </c>
    </row>
    <row r="60" spans="1:10" ht="11.25">
      <c r="A60" s="63" t="s">
        <v>181</v>
      </c>
      <c r="B60" s="72">
        <v>1.0225872689938398</v>
      </c>
      <c r="C60" s="72">
        <v>0.6518324607329843</v>
      </c>
      <c r="D60" s="73">
        <v>0.5512690355329949</v>
      </c>
      <c r="E60" s="72">
        <v>0.9838872104733132</v>
      </c>
      <c r="F60" s="72">
        <v>0.6381450032658393</v>
      </c>
      <c r="G60" s="73">
        <v>0.5543147208121827</v>
      </c>
      <c r="H60" s="72">
        <f t="shared" si="4"/>
        <v>-0.0378452379507961</v>
      </c>
      <c r="I60" s="72">
        <f t="shared" si="5"/>
        <v>-0.020998428724696264</v>
      </c>
      <c r="J60" s="72">
        <f t="shared" si="6"/>
        <v>0.005524861878453015</v>
      </c>
    </row>
    <row r="61" spans="1:10" ht="11.25">
      <c r="A61" s="63" t="s">
        <v>185</v>
      </c>
      <c r="B61" s="72">
        <v>1.0365135453474676</v>
      </c>
      <c r="C61" s="72">
        <v>0.5412054120541205</v>
      </c>
      <c r="D61" s="73">
        <v>0.8808559861191441</v>
      </c>
      <c r="E61" s="72">
        <v>1.1370967741935485</v>
      </c>
      <c r="F61" s="72">
        <v>0.5764513491414555</v>
      </c>
      <c r="G61" s="73">
        <v>0.8460377358490566</v>
      </c>
      <c r="H61" s="72">
        <f t="shared" si="4"/>
        <v>0.09703995601173027</v>
      </c>
      <c r="I61" s="72">
        <f t="shared" si="5"/>
        <v>0.06512487920909839</v>
      </c>
      <c r="J61" s="72">
        <f t="shared" si="6"/>
        <v>-0.03952774439722993</v>
      </c>
    </row>
    <row r="62" spans="1:10" ht="11.25">
      <c r="A62" s="63" t="s">
        <v>183</v>
      </c>
      <c r="B62" s="72">
        <v>0.9625</v>
      </c>
      <c r="C62" s="72">
        <v>0.7064220183486238</v>
      </c>
      <c r="D62" s="73">
        <v>0.3885350318471338</v>
      </c>
      <c r="E62" s="72">
        <v>0.9893238434163701</v>
      </c>
      <c r="F62" s="72">
        <v>0.7616438356164383</v>
      </c>
      <c r="G62" s="73">
        <v>0.30590339892665475</v>
      </c>
      <c r="H62" s="72">
        <f t="shared" si="4"/>
        <v>0.027868928224800124</v>
      </c>
      <c r="I62" s="72">
        <f t="shared" si="5"/>
        <v>0.07817114392456857</v>
      </c>
      <c r="J62" s="72">
        <f t="shared" si="6"/>
        <v>-0.2126748585002493</v>
      </c>
    </row>
    <row r="63" spans="1:10" ht="11.25">
      <c r="A63" s="63" t="s">
        <v>188</v>
      </c>
      <c r="B63" s="662">
        <v>0.8851195065535852</v>
      </c>
      <c r="C63" s="662">
        <v>0.48438818565400843</v>
      </c>
      <c r="D63" s="664">
        <v>0.9386503067484663</v>
      </c>
      <c r="E63" s="662">
        <v>0.9302197802197802</v>
      </c>
      <c r="F63" s="662">
        <v>0.6120751988430947</v>
      </c>
      <c r="G63" s="664">
        <v>0.5747224594363791</v>
      </c>
      <c r="H63" s="662">
        <f t="shared" si="4"/>
        <v>0.05095388061415941</v>
      </c>
      <c r="I63" s="662">
        <f t="shared" si="5"/>
        <v>0.2636047223502913</v>
      </c>
      <c r="J63" s="662">
        <f t="shared" si="6"/>
        <v>-0.38771398112333466</v>
      </c>
    </row>
    <row r="64" spans="1:10" ht="11.25">
      <c r="A64" s="64" t="s">
        <v>184</v>
      </c>
      <c r="B64" s="663">
        <v>0.995040666534418</v>
      </c>
      <c r="C64" s="663">
        <v>0.5464647565094237</v>
      </c>
      <c r="D64" s="670">
        <v>0.825395247091578</v>
      </c>
      <c r="E64" s="663">
        <v>1.0476190476190477</v>
      </c>
      <c r="F64" s="663">
        <v>0.5955824863174355</v>
      </c>
      <c r="G64" s="670">
        <v>0.7180757283183612</v>
      </c>
      <c r="H64" s="663">
        <f t="shared" si="4"/>
        <v>0.05284043441938157</v>
      </c>
      <c r="I64" s="663">
        <f t="shared" si="5"/>
        <v>0.08988270372961324</v>
      </c>
      <c r="J64" s="663">
        <f t="shared" si="6"/>
        <v>-0.1300219732926444</v>
      </c>
    </row>
    <row r="65" spans="1:10" ht="11.25">
      <c r="A65" s="63" t="s">
        <v>191</v>
      </c>
      <c r="B65" s="72">
        <v>1.1421686746987951</v>
      </c>
      <c r="C65" s="72">
        <v>0.5794621026894865</v>
      </c>
      <c r="D65" s="73">
        <v>0.8402699662542182</v>
      </c>
      <c r="E65" s="72">
        <v>1.1080196399345335</v>
      </c>
      <c r="F65" s="72">
        <v>0.6268518518518519</v>
      </c>
      <c r="G65" s="73">
        <v>0.6770186335403726</v>
      </c>
      <c r="H65" s="72">
        <f t="shared" si="4"/>
        <v>-0.029898416513013917</v>
      </c>
      <c r="I65" s="72">
        <f t="shared" si="5"/>
        <v>0.08178230973589638</v>
      </c>
      <c r="J65" s="72">
        <f t="shared" si="6"/>
        <v>-0.19428438391246153</v>
      </c>
    </row>
    <row r="66" spans="1:10" ht="11.25">
      <c r="A66" s="63" t="s">
        <v>192</v>
      </c>
      <c r="B66" s="72">
        <v>1.7903225806451613</v>
      </c>
      <c r="C66" s="72">
        <v>0.6262341325811002</v>
      </c>
      <c r="D66" s="73">
        <v>1.0491329479768785</v>
      </c>
      <c r="E66" s="72">
        <v>1.2152777777777777</v>
      </c>
      <c r="F66" s="72">
        <v>0.5324543610547667</v>
      </c>
      <c r="G66" s="73">
        <v>1.0606060606060606</v>
      </c>
      <c r="H66" s="72">
        <f t="shared" si="4"/>
        <v>-0.3211961961961962</v>
      </c>
      <c r="I66" s="72">
        <f t="shared" si="5"/>
        <v>-0.14975193245984325</v>
      </c>
      <c r="J66" s="72">
        <f t="shared" si="6"/>
        <v>0.01093580432423413</v>
      </c>
    </row>
    <row r="67" spans="1:10" ht="11.25">
      <c r="A67" s="63" t="s">
        <v>193</v>
      </c>
      <c r="B67" s="662">
        <v>0.981675392670157</v>
      </c>
      <c r="C67" s="662">
        <v>0.541907514450867</v>
      </c>
      <c r="D67" s="664">
        <v>0.8282694848084544</v>
      </c>
      <c r="E67" s="662">
        <v>1.1339285714285714</v>
      </c>
      <c r="F67" s="662">
        <v>0.5513748191027497</v>
      </c>
      <c r="G67" s="664">
        <v>0.9274755927475593</v>
      </c>
      <c r="H67" s="662">
        <f>(E67-B67)/B67</f>
        <v>0.15509523809523812</v>
      </c>
      <c r="I67" s="662">
        <f>(F67-C67)/C67</f>
        <v>0.017470332850940715</v>
      </c>
      <c r="J67" s="662">
        <f>(G67-D67)/D67</f>
        <v>0.11977515743206125</v>
      </c>
    </row>
    <row r="68" spans="1:10" s="262" customFormat="1" ht="11.25">
      <c r="A68" s="219" t="s">
        <v>194</v>
      </c>
      <c r="B68" s="72">
        <v>1.0224032586558045</v>
      </c>
      <c r="C68" s="72">
        <v>0.7280638143582306</v>
      </c>
      <c r="D68" s="73">
        <v>0.38872104733131924</v>
      </c>
      <c r="E68" s="72">
        <v>1.1173512154233025</v>
      </c>
      <c r="F68" s="72">
        <v>0.7705202312138728</v>
      </c>
      <c r="G68" s="73">
        <v>0.36975455265241486</v>
      </c>
      <c r="H68" s="72">
        <f t="shared" si="4"/>
        <v>0.09286742385028192</v>
      </c>
      <c r="I68" s="72">
        <f t="shared" si="5"/>
        <v>0.05831414227483122</v>
      </c>
      <c r="J68" s="72">
        <f t="shared" si="6"/>
        <v>-0.048792044601430176</v>
      </c>
    </row>
    <row r="69" spans="1:10" ht="11.25">
      <c r="A69" s="219" t="s">
        <v>195</v>
      </c>
      <c r="B69" s="72">
        <v>1.3258785942492013</v>
      </c>
      <c r="C69" s="72">
        <v>0.45108695652173914</v>
      </c>
      <c r="D69" s="73">
        <v>1.5274725274725274</v>
      </c>
      <c r="E69" s="72">
        <v>1</v>
      </c>
      <c r="F69" s="72">
        <v>0.44362969752520626</v>
      </c>
      <c r="G69" s="73">
        <v>1.2541322314049588</v>
      </c>
      <c r="H69" s="72">
        <f>(E69-B69)/B69</f>
        <v>-0.2457831325301205</v>
      </c>
      <c r="I69" s="72">
        <f>(F69-C69)/C69</f>
        <v>-0.016531754883880114</v>
      </c>
      <c r="J69" s="72">
        <f>(G69-D69)/D69</f>
        <v>-0.17894940246150176</v>
      </c>
    </row>
    <row r="70" spans="1:10" ht="11.25">
      <c r="A70" s="219" t="s">
        <v>196</v>
      </c>
      <c r="B70" s="72">
        <v>1.005181347150259</v>
      </c>
      <c r="C70" s="72">
        <v>0.33797909407665505</v>
      </c>
      <c r="D70" s="73">
        <v>1.9664082687338502</v>
      </c>
      <c r="E70" s="72">
        <v>1.1136363636363635</v>
      </c>
      <c r="F70" s="72">
        <v>0.5625717566016073</v>
      </c>
      <c r="G70" s="73">
        <v>0.8731182795698925</v>
      </c>
      <c r="H70" s="72">
        <f t="shared" si="4"/>
        <v>0.10789597000937196</v>
      </c>
      <c r="I70" s="72">
        <f t="shared" si="5"/>
        <v>0.6645164344810442</v>
      </c>
      <c r="J70" s="72">
        <f t="shared" si="6"/>
        <v>-0.5559832139375186</v>
      </c>
    </row>
    <row r="71" spans="1:10" ht="22.5">
      <c r="A71" s="219" t="s">
        <v>197</v>
      </c>
      <c r="B71" s="662">
        <v>0.9357798165137615</v>
      </c>
      <c r="C71" s="662">
        <v>0.6623376623376623</v>
      </c>
      <c r="D71" s="664">
        <v>0.4597156398104265</v>
      </c>
      <c r="E71" s="662">
        <v>0.9534883720930233</v>
      </c>
      <c r="F71" s="662">
        <v>0.7321428571428571</v>
      </c>
      <c r="G71" s="664">
        <v>0.3333333333333333</v>
      </c>
      <c r="H71" s="662">
        <f>(E71-B71)/B71</f>
        <v>0.018923848609211102</v>
      </c>
      <c r="I71" s="662">
        <f>(F71-C71)/C71</f>
        <v>0.10539215686274503</v>
      </c>
      <c r="J71" s="662">
        <f>(G71-D71)/D71</f>
        <v>-0.27491408934707906</v>
      </c>
    </row>
    <row r="72" spans="1:10" s="262" customFormat="1" ht="11.25">
      <c r="A72" s="219" t="s">
        <v>190</v>
      </c>
      <c r="B72" s="72">
        <v>1.1585365853658536</v>
      </c>
      <c r="C72" s="72">
        <v>0.38549327922901344</v>
      </c>
      <c r="D72" s="73">
        <v>1.7846045197740112</v>
      </c>
      <c r="E72" s="72">
        <v>1.070744516527649</v>
      </c>
      <c r="F72" s="72">
        <v>0.5684762998195834</v>
      </c>
      <c r="G72" s="73">
        <v>0.8191854393555125</v>
      </c>
      <c r="H72" s="72">
        <f t="shared" si="4"/>
        <v>-0.07577841731297658</v>
      </c>
      <c r="I72" s="72">
        <f t="shared" si="5"/>
        <v>0.47467240143987977</v>
      </c>
      <c r="J72" s="72">
        <f t="shared" si="6"/>
        <v>-0.5409708816274611</v>
      </c>
    </row>
    <row r="73" spans="1:10" ht="11.25">
      <c r="A73" s="63" t="s">
        <v>198</v>
      </c>
      <c r="B73" s="662">
        <v>1</v>
      </c>
      <c r="C73" s="662">
        <v>0.6428571428571429</v>
      </c>
      <c r="D73" s="664">
        <v>0.5555555555555556</v>
      </c>
      <c r="E73" s="662">
        <v>1.2903225806451613</v>
      </c>
      <c r="F73" s="662">
        <v>0.8</v>
      </c>
      <c r="G73" s="664">
        <v>0.4084507042253521</v>
      </c>
      <c r="H73" s="662">
        <f t="shared" si="4"/>
        <v>0.29032258064516125</v>
      </c>
      <c r="I73" s="662">
        <f t="shared" si="5"/>
        <v>0.2444444444444444</v>
      </c>
      <c r="J73" s="662">
        <f t="shared" si="6"/>
        <v>-0.26478873239436623</v>
      </c>
    </row>
    <row r="74" spans="1:10" ht="22.5">
      <c r="A74" s="64" t="s">
        <v>189</v>
      </c>
      <c r="B74" s="663">
        <v>1.1445115810674724</v>
      </c>
      <c r="C74" s="663">
        <v>0.49321905175219705</v>
      </c>
      <c r="D74" s="670">
        <v>1.1641230335759567</v>
      </c>
      <c r="E74" s="663">
        <v>1.090816770636878</v>
      </c>
      <c r="F74" s="663">
        <v>0.5890786587276716</v>
      </c>
      <c r="G74" s="670">
        <v>0.7713016930335831</v>
      </c>
      <c r="H74" s="663">
        <f t="shared" si="4"/>
        <v>-0.04691504334146956</v>
      </c>
      <c r="I74" s="663">
        <f t="shared" si="5"/>
        <v>0.19435503684402752</v>
      </c>
      <c r="J74" s="663">
        <f t="shared" si="6"/>
        <v>-0.3374397114501753</v>
      </c>
    </row>
    <row r="75" spans="1:10" s="90" customFormat="1" ht="11.25">
      <c r="A75" s="671" t="s">
        <v>5</v>
      </c>
      <c r="B75" s="663">
        <v>1.0558601917235393</v>
      </c>
      <c r="C75" s="663">
        <v>0.5828868853173048</v>
      </c>
      <c r="D75" s="663">
        <v>0.7622136086272403</v>
      </c>
      <c r="E75" s="663">
        <v>1.137385290597154</v>
      </c>
      <c r="F75" s="663">
        <v>0.624518484710178</v>
      </c>
      <c r="G75" s="663">
        <v>0.7041565552859187</v>
      </c>
      <c r="H75" s="663">
        <f t="shared" si="4"/>
        <v>0.07721202059956134</v>
      </c>
      <c r="I75" s="663">
        <f t="shared" si="5"/>
        <v>0.07142311903313847</v>
      </c>
      <c r="J75" s="663">
        <f t="shared" si="6"/>
        <v>-0.0761690065412022</v>
      </c>
    </row>
    <row r="76" ht="11.25"/>
    <row r="77" ht="11.25">
      <c r="A77" s="660" t="s">
        <v>462</v>
      </c>
    </row>
  </sheetData>
  <sheetProtection/>
  <mergeCells count="12">
    <mergeCell ref="E3:G3"/>
    <mergeCell ref="B9:D9"/>
    <mergeCell ref="E9:G9"/>
    <mergeCell ref="H9:J9"/>
    <mergeCell ref="B34:D34"/>
    <mergeCell ref="E34:G34"/>
    <mergeCell ref="A2:J2"/>
    <mergeCell ref="A9:A10"/>
    <mergeCell ref="A3:A4"/>
    <mergeCell ref="H3:J3"/>
    <mergeCell ref="H34:J34"/>
    <mergeCell ref="B3:D3"/>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U62"/>
  <sheetViews>
    <sheetView zoomScale="90" zoomScaleNormal="90" zoomScaleSheetLayoutView="80" workbookViewId="0" topLeftCell="A1">
      <selection activeCell="P21" sqref="P21"/>
    </sheetView>
  </sheetViews>
  <sheetFormatPr defaultColWidth="9.140625" defaultRowHeight="12.75"/>
  <cols>
    <col min="1" max="1" width="27.7109375" style="97" customWidth="1"/>
    <col min="2" max="2" width="7.140625" style="274" customWidth="1"/>
    <col min="3" max="4" width="7.7109375" style="274" customWidth="1"/>
    <col min="5" max="5" width="8.140625" style="274" customWidth="1"/>
    <col min="6" max="6" width="8.421875" style="274" customWidth="1"/>
    <col min="7" max="7" width="6.8515625" style="274" customWidth="1"/>
    <col min="8" max="8" width="6.7109375" style="274" customWidth="1"/>
    <col min="9" max="10" width="7.28125" style="274" customWidth="1"/>
    <col min="11" max="11" width="7.140625" style="274" customWidth="1"/>
    <col min="12" max="12" width="6.7109375" style="274" customWidth="1"/>
    <col min="13" max="13" width="7.28125" style="274" customWidth="1"/>
    <col min="14" max="14" width="6.7109375" style="274" customWidth="1"/>
    <col min="15" max="15" width="8.28125" style="274" customWidth="1"/>
    <col min="16" max="17" width="7.28125" style="118" customWidth="1"/>
    <col min="18" max="18" width="8.00390625" style="118" customWidth="1"/>
    <col min="19" max="19" width="6.7109375" style="118" customWidth="1"/>
    <col min="20" max="20" width="10.421875" style="118" customWidth="1"/>
    <col min="21" max="16384" width="9.140625" style="97" customWidth="1"/>
  </cols>
  <sheetData>
    <row r="1" spans="1:20" s="58" customFormat="1" ht="19.5" customHeight="1">
      <c r="A1" s="770" t="s">
        <v>469</v>
      </c>
      <c r="B1" s="771"/>
      <c r="C1" s="771"/>
      <c r="D1" s="771"/>
      <c r="E1" s="771"/>
      <c r="F1" s="771"/>
      <c r="G1" s="771"/>
      <c r="H1" s="771"/>
      <c r="I1" s="771"/>
      <c r="J1" s="771"/>
      <c r="K1" s="771"/>
      <c r="L1" s="771"/>
      <c r="M1" s="771"/>
      <c r="N1" s="771"/>
      <c r="O1" s="771"/>
      <c r="P1" s="771"/>
      <c r="Q1" s="771"/>
      <c r="R1" s="771"/>
      <c r="S1" s="771"/>
      <c r="T1" s="771"/>
    </row>
    <row r="2" spans="1:20" s="58" customFormat="1" ht="12.75" customHeight="1">
      <c r="A2" s="98"/>
      <c r="B2" s="263"/>
      <c r="C2" s="263"/>
      <c r="D2" s="263"/>
      <c r="E2" s="263"/>
      <c r="F2" s="263"/>
      <c r="G2" s="264"/>
      <c r="H2" s="264"/>
      <c r="I2" s="264"/>
      <c r="J2" s="264"/>
      <c r="K2" s="264"/>
      <c r="L2" s="264"/>
      <c r="M2" s="264"/>
      <c r="N2" s="264"/>
      <c r="O2" s="263"/>
      <c r="P2" s="101"/>
      <c r="Q2" s="101"/>
      <c r="R2" s="101"/>
      <c r="S2" s="101"/>
      <c r="T2" s="101"/>
    </row>
    <row r="3" spans="1:19" s="58" customFormat="1" ht="37.5" customHeight="1">
      <c r="A3" s="738" t="s">
        <v>0</v>
      </c>
      <c r="B3" s="772" t="s">
        <v>12</v>
      </c>
      <c r="C3" s="773"/>
      <c r="D3" s="773"/>
      <c r="E3" s="773"/>
      <c r="F3" s="774"/>
      <c r="G3" s="759" t="s">
        <v>13</v>
      </c>
      <c r="H3" s="760"/>
      <c r="I3" s="760"/>
      <c r="J3" s="761"/>
      <c r="K3" s="759" t="s">
        <v>14</v>
      </c>
      <c r="L3" s="760"/>
      <c r="M3" s="760"/>
      <c r="N3" s="761"/>
      <c r="O3" s="754" t="s">
        <v>286</v>
      </c>
      <c r="P3" s="755"/>
      <c r="Q3" s="755"/>
      <c r="R3" s="755"/>
      <c r="S3" s="756"/>
    </row>
    <row r="4" spans="1:19" s="58" customFormat="1" ht="21" customHeight="1">
      <c r="A4" s="752"/>
      <c r="B4" s="265" t="s">
        <v>222</v>
      </c>
      <c r="C4" s="265" t="s">
        <v>1</v>
      </c>
      <c r="D4" s="277" t="s">
        <v>460</v>
      </c>
      <c r="E4" s="265" t="s">
        <v>2</v>
      </c>
      <c r="F4" s="265" t="s">
        <v>3</v>
      </c>
      <c r="G4" s="265" t="s">
        <v>222</v>
      </c>
      <c r="H4" s="265" t="s">
        <v>1</v>
      </c>
      <c r="I4" s="265" t="s">
        <v>2</v>
      </c>
      <c r="J4" s="265" t="s">
        <v>3</v>
      </c>
      <c r="K4" s="265" t="s">
        <v>222</v>
      </c>
      <c r="L4" s="265" t="s">
        <v>1</v>
      </c>
      <c r="M4" s="265" t="s">
        <v>2</v>
      </c>
      <c r="N4" s="265" t="s">
        <v>3</v>
      </c>
      <c r="O4" s="265" t="s">
        <v>222</v>
      </c>
      <c r="P4" s="277" t="s">
        <v>1</v>
      </c>
      <c r="Q4" s="277" t="s">
        <v>460</v>
      </c>
      <c r="R4" s="277" t="s">
        <v>2</v>
      </c>
      <c r="S4" s="277" t="s">
        <v>3</v>
      </c>
    </row>
    <row r="5" spans="1:19" s="59" customFormat="1" ht="15" customHeight="1">
      <c r="A5" s="104" t="s">
        <v>137</v>
      </c>
      <c r="B5" s="575">
        <f aca="true" t="shared" si="0" ref="B5:B26">F5+E5-C5</f>
        <v>8213</v>
      </c>
      <c r="C5" s="588">
        <v>1592</v>
      </c>
      <c r="D5" s="588">
        <v>1543</v>
      </c>
      <c r="E5" s="588">
        <v>1949</v>
      </c>
      <c r="F5" s="588">
        <v>7856</v>
      </c>
      <c r="G5" s="614"/>
      <c r="H5" s="614"/>
      <c r="I5" s="614"/>
      <c r="J5" s="614"/>
      <c r="K5" s="614"/>
      <c r="L5" s="614"/>
      <c r="M5" s="614"/>
      <c r="N5" s="614"/>
      <c r="O5" s="614"/>
      <c r="P5" s="614"/>
      <c r="Q5" s="614"/>
      <c r="R5" s="614"/>
      <c r="S5" s="614"/>
    </row>
    <row r="6" spans="1:19" s="58" customFormat="1" ht="13.5" customHeight="1">
      <c r="A6" s="106" t="s">
        <v>139</v>
      </c>
      <c r="B6" s="575">
        <f t="shared" si="0"/>
        <v>1883</v>
      </c>
      <c r="C6" s="588">
        <v>1976</v>
      </c>
      <c r="D6" s="588">
        <v>582</v>
      </c>
      <c r="E6" s="588">
        <v>604</v>
      </c>
      <c r="F6" s="588">
        <v>3255</v>
      </c>
      <c r="G6" s="573">
        <f aca="true" t="shared" si="1" ref="G6:G25">J6+I6-H6</f>
        <v>740</v>
      </c>
      <c r="H6" s="589">
        <v>785</v>
      </c>
      <c r="I6" s="589">
        <v>1202</v>
      </c>
      <c r="J6" s="589">
        <v>323</v>
      </c>
      <c r="K6" s="573">
        <f aca="true" t="shared" si="2" ref="K6:K25">N6+M6-L6</f>
        <v>1270</v>
      </c>
      <c r="L6" s="589">
        <v>156</v>
      </c>
      <c r="M6" s="589">
        <v>223</v>
      </c>
      <c r="N6" s="589">
        <v>1203</v>
      </c>
      <c r="O6" s="573">
        <f>S6-P6+R6</f>
        <v>697</v>
      </c>
      <c r="P6" s="615">
        <v>1270</v>
      </c>
      <c r="Q6" s="615">
        <v>1206</v>
      </c>
      <c r="R6" s="615">
        <v>1706</v>
      </c>
      <c r="S6" s="615">
        <v>261</v>
      </c>
    </row>
    <row r="7" spans="1:19" s="58" customFormat="1" ht="13.5" customHeight="1">
      <c r="A7" s="104" t="s">
        <v>140</v>
      </c>
      <c r="B7" s="575">
        <f t="shared" si="0"/>
        <v>1609</v>
      </c>
      <c r="C7" s="592">
        <v>37</v>
      </c>
      <c r="D7" s="592">
        <v>37</v>
      </c>
      <c r="E7" s="592">
        <v>56</v>
      </c>
      <c r="F7" s="592">
        <v>1590</v>
      </c>
      <c r="G7" s="573">
        <f t="shared" si="1"/>
        <v>152</v>
      </c>
      <c r="H7" s="616">
        <v>40</v>
      </c>
      <c r="I7" s="616">
        <v>24</v>
      </c>
      <c r="J7" s="616">
        <v>168</v>
      </c>
      <c r="K7" s="573">
        <f t="shared" si="2"/>
        <v>0</v>
      </c>
      <c r="L7" s="616"/>
      <c r="M7" s="616"/>
      <c r="N7" s="616"/>
      <c r="O7" s="573">
        <f aca="true" t="shared" si="3" ref="O7:O27">S7-P7+R7</f>
        <v>102</v>
      </c>
      <c r="P7" s="617">
        <v>48</v>
      </c>
      <c r="Q7" s="617">
        <v>48</v>
      </c>
      <c r="R7" s="617">
        <v>35</v>
      </c>
      <c r="S7" s="617">
        <v>115</v>
      </c>
    </row>
    <row r="8" spans="1:19" s="59" customFormat="1" ht="13.5" customHeight="1" thickBot="1">
      <c r="A8" s="248" t="s">
        <v>160</v>
      </c>
      <c r="B8" s="622">
        <f t="shared" si="0"/>
        <v>3492</v>
      </c>
      <c r="C8" s="368">
        <f>C6+C7</f>
        <v>2013</v>
      </c>
      <c r="D8" s="368">
        <f>D6+D7</f>
        <v>619</v>
      </c>
      <c r="E8" s="368">
        <f>E6+E7</f>
        <v>660</v>
      </c>
      <c r="F8" s="368">
        <f>F6+F7</f>
        <v>4845</v>
      </c>
      <c r="G8" s="624">
        <f t="shared" si="1"/>
        <v>892</v>
      </c>
      <c r="H8" s="368">
        <f>H6+H7</f>
        <v>825</v>
      </c>
      <c r="I8" s="368">
        <f>I6+I7</f>
        <v>1226</v>
      </c>
      <c r="J8" s="368">
        <f>J6+J7</f>
        <v>491</v>
      </c>
      <c r="K8" s="623">
        <f t="shared" si="2"/>
        <v>1270</v>
      </c>
      <c r="L8" s="368">
        <f>L6+L7</f>
        <v>156</v>
      </c>
      <c r="M8" s="368">
        <f>M6+M7</f>
        <v>223</v>
      </c>
      <c r="N8" s="368">
        <f>N6+N7</f>
        <v>1203</v>
      </c>
      <c r="O8" s="624">
        <f t="shared" si="3"/>
        <v>799</v>
      </c>
      <c r="P8" s="374">
        <f>P6+P7</f>
        <v>1318</v>
      </c>
      <c r="Q8" s="374">
        <f>Q6+Q7</f>
        <v>1254</v>
      </c>
      <c r="R8" s="374">
        <f>R6+R7</f>
        <v>1741</v>
      </c>
      <c r="S8" s="374">
        <f>S6+S7</f>
        <v>376</v>
      </c>
    </row>
    <row r="9" spans="1:19" s="58" customFormat="1" ht="13.5" customHeight="1" thickTop="1">
      <c r="A9" s="106" t="s">
        <v>142</v>
      </c>
      <c r="B9" s="618">
        <f t="shared" si="0"/>
        <v>13967</v>
      </c>
      <c r="C9" s="369">
        <v>11001</v>
      </c>
      <c r="D9" s="369">
        <v>4138</v>
      </c>
      <c r="E9" s="369">
        <v>5613</v>
      </c>
      <c r="F9" s="369">
        <v>19355</v>
      </c>
      <c r="G9" s="619">
        <f t="shared" si="1"/>
        <v>7918</v>
      </c>
      <c r="H9" s="620">
        <v>7078</v>
      </c>
      <c r="I9" s="620">
        <v>5122</v>
      </c>
      <c r="J9" s="620">
        <v>9874</v>
      </c>
      <c r="K9" s="619">
        <f t="shared" si="2"/>
        <v>5727</v>
      </c>
      <c r="L9" s="620">
        <v>1637</v>
      </c>
      <c r="M9" s="620">
        <v>843</v>
      </c>
      <c r="N9" s="620">
        <v>6521</v>
      </c>
      <c r="O9" s="619">
        <f t="shared" si="3"/>
        <v>6541</v>
      </c>
      <c r="P9" s="355">
        <v>16092</v>
      </c>
      <c r="Q9" s="355">
        <v>15174</v>
      </c>
      <c r="R9" s="355">
        <v>14453</v>
      </c>
      <c r="S9" s="621">
        <v>8180</v>
      </c>
    </row>
    <row r="10" spans="1:19" s="58" customFormat="1" ht="13.5" customHeight="1">
      <c r="A10" s="681" t="s">
        <v>143</v>
      </c>
      <c r="B10" s="266">
        <f t="shared" si="0"/>
        <v>0</v>
      </c>
      <c r="C10" s="367"/>
      <c r="D10" s="367"/>
      <c r="E10" s="367"/>
      <c r="F10" s="367"/>
      <c r="G10" s="268">
        <f t="shared" si="1"/>
        <v>0</v>
      </c>
      <c r="H10" s="371"/>
      <c r="I10" s="371"/>
      <c r="J10" s="371"/>
      <c r="K10" s="268">
        <f t="shared" si="2"/>
        <v>0</v>
      </c>
      <c r="L10" s="371"/>
      <c r="M10" s="371"/>
      <c r="N10" s="371"/>
      <c r="O10" s="268">
        <f t="shared" si="3"/>
        <v>0</v>
      </c>
      <c r="P10" s="362"/>
      <c r="Q10" s="362"/>
      <c r="R10" s="362"/>
      <c r="S10" s="362"/>
    </row>
    <row r="11" spans="1:19" s="58" customFormat="1" ht="13.5" customHeight="1">
      <c r="A11" s="104" t="s">
        <v>144</v>
      </c>
      <c r="B11" s="266">
        <f t="shared" si="0"/>
        <v>1177</v>
      </c>
      <c r="C11" s="367">
        <v>2</v>
      </c>
      <c r="D11" s="367">
        <v>2</v>
      </c>
      <c r="E11" s="367">
        <v>1179</v>
      </c>
      <c r="F11" s="367">
        <v>0</v>
      </c>
      <c r="G11" s="268">
        <f t="shared" si="1"/>
        <v>181</v>
      </c>
      <c r="H11" s="371">
        <v>27</v>
      </c>
      <c r="I11" s="371">
        <v>208</v>
      </c>
      <c r="J11" s="371">
        <v>0</v>
      </c>
      <c r="K11" s="268">
        <f t="shared" si="2"/>
        <v>58</v>
      </c>
      <c r="L11" s="371">
        <v>0</v>
      </c>
      <c r="M11" s="371">
        <v>58</v>
      </c>
      <c r="N11" s="371">
        <v>0</v>
      </c>
      <c r="O11" s="268">
        <f t="shared" si="3"/>
        <v>12</v>
      </c>
      <c r="P11" s="375">
        <v>18</v>
      </c>
      <c r="Q11" s="375">
        <v>18</v>
      </c>
      <c r="R11" s="375">
        <v>30</v>
      </c>
      <c r="S11" s="375">
        <v>0</v>
      </c>
    </row>
    <row r="12" spans="1:19" s="58" customFormat="1" ht="13.5" customHeight="1">
      <c r="A12" s="681" t="s">
        <v>145</v>
      </c>
      <c r="B12" s="266">
        <f t="shared" si="0"/>
        <v>0</v>
      </c>
      <c r="C12" s="367"/>
      <c r="D12" s="367"/>
      <c r="E12" s="367"/>
      <c r="F12" s="367"/>
      <c r="G12" s="268">
        <f t="shared" si="1"/>
        <v>0</v>
      </c>
      <c r="H12" s="371"/>
      <c r="I12" s="371"/>
      <c r="J12" s="371"/>
      <c r="K12" s="268">
        <f t="shared" si="2"/>
        <v>0</v>
      </c>
      <c r="L12" s="371"/>
      <c r="M12" s="371"/>
      <c r="N12" s="371"/>
      <c r="O12" s="268">
        <f t="shared" si="3"/>
        <v>0</v>
      </c>
      <c r="P12" s="362"/>
      <c r="Q12" s="362"/>
      <c r="R12" s="362"/>
      <c r="S12" s="362"/>
    </row>
    <row r="13" spans="1:19" s="58" customFormat="1" ht="13.5" customHeight="1">
      <c r="A13" s="681" t="s">
        <v>146</v>
      </c>
      <c r="B13" s="266">
        <f t="shared" si="0"/>
        <v>0</v>
      </c>
      <c r="C13" s="367"/>
      <c r="D13" s="367"/>
      <c r="E13" s="367"/>
      <c r="F13" s="367"/>
      <c r="G13" s="268">
        <f t="shared" si="1"/>
        <v>0</v>
      </c>
      <c r="H13" s="371"/>
      <c r="I13" s="371"/>
      <c r="J13" s="371"/>
      <c r="K13" s="268">
        <f t="shared" si="2"/>
        <v>0</v>
      </c>
      <c r="L13" s="371"/>
      <c r="M13" s="371"/>
      <c r="N13" s="371"/>
      <c r="O13" s="268">
        <f t="shared" si="3"/>
        <v>0</v>
      </c>
      <c r="P13" s="362"/>
      <c r="Q13" s="362"/>
      <c r="R13" s="362"/>
      <c r="S13" s="362"/>
    </row>
    <row r="14" spans="1:19" s="58" customFormat="1" ht="13.5" customHeight="1">
      <c r="A14" s="681" t="s">
        <v>147</v>
      </c>
      <c r="B14" s="266">
        <f t="shared" si="0"/>
        <v>0</v>
      </c>
      <c r="C14" s="367"/>
      <c r="D14" s="367"/>
      <c r="E14" s="367"/>
      <c r="F14" s="367"/>
      <c r="G14" s="268">
        <f t="shared" si="1"/>
        <v>0</v>
      </c>
      <c r="H14" s="371"/>
      <c r="I14" s="371"/>
      <c r="J14" s="371"/>
      <c r="K14" s="268">
        <f t="shared" si="2"/>
        <v>0</v>
      </c>
      <c r="L14" s="371"/>
      <c r="M14" s="371"/>
      <c r="N14" s="371"/>
      <c r="O14" s="268">
        <f t="shared" si="3"/>
        <v>0</v>
      </c>
      <c r="P14" s="362"/>
      <c r="Q14" s="362"/>
      <c r="R14" s="362"/>
      <c r="S14" s="362"/>
    </row>
    <row r="15" spans="1:19" s="58" customFormat="1" ht="13.5" customHeight="1">
      <c r="A15" s="681" t="s">
        <v>148</v>
      </c>
      <c r="B15" s="266">
        <f t="shared" si="0"/>
        <v>0</v>
      </c>
      <c r="C15" s="367"/>
      <c r="D15" s="367"/>
      <c r="E15" s="367"/>
      <c r="F15" s="367"/>
      <c r="G15" s="268">
        <f t="shared" si="1"/>
        <v>0</v>
      </c>
      <c r="H15" s="371"/>
      <c r="I15" s="371"/>
      <c r="J15" s="371"/>
      <c r="K15" s="268">
        <f t="shared" si="2"/>
        <v>0</v>
      </c>
      <c r="L15" s="371"/>
      <c r="M15" s="371"/>
      <c r="N15" s="371"/>
      <c r="O15" s="268">
        <f t="shared" si="3"/>
        <v>0</v>
      </c>
      <c r="P15" s="362"/>
      <c r="Q15" s="362"/>
      <c r="R15" s="362"/>
      <c r="S15" s="362"/>
    </row>
    <row r="16" spans="1:19" s="58" customFormat="1" ht="13.5" customHeight="1">
      <c r="A16" s="222" t="s">
        <v>149</v>
      </c>
      <c r="B16" s="266">
        <f t="shared" si="0"/>
        <v>1646</v>
      </c>
      <c r="C16" s="367">
        <v>0</v>
      </c>
      <c r="D16" s="367">
        <v>0</v>
      </c>
      <c r="E16" s="367">
        <v>101</v>
      </c>
      <c r="F16" s="367">
        <v>1545</v>
      </c>
      <c r="G16" s="268">
        <f t="shared" si="1"/>
        <v>160</v>
      </c>
      <c r="H16" s="371">
        <v>9</v>
      </c>
      <c r="I16" s="371">
        <v>5</v>
      </c>
      <c r="J16" s="371">
        <v>164</v>
      </c>
      <c r="K16" s="268">
        <f t="shared" si="2"/>
        <v>107</v>
      </c>
      <c r="L16" s="371">
        <v>0</v>
      </c>
      <c r="M16" s="371">
        <v>0</v>
      </c>
      <c r="N16" s="371">
        <v>107</v>
      </c>
      <c r="O16" s="268">
        <f t="shared" si="3"/>
        <v>25</v>
      </c>
      <c r="P16" s="362">
        <v>11</v>
      </c>
      <c r="Q16" s="362">
        <v>11</v>
      </c>
      <c r="R16" s="362">
        <v>25</v>
      </c>
      <c r="S16" s="362">
        <v>11</v>
      </c>
    </row>
    <row r="17" spans="1:19" s="59" customFormat="1" ht="19.5" customHeight="1" thickBot="1">
      <c r="A17" s="105" t="s">
        <v>150</v>
      </c>
      <c r="B17" s="622">
        <f t="shared" si="0"/>
        <v>16790</v>
      </c>
      <c r="C17" s="368">
        <f>SUM(C9:C16)</f>
        <v>11003</v>
      </c>
      <c r="D17" s="368">
        <f>SUM(D9:D16)</f>
        <v>4140</v>
      </c>
      <c r="E17" s="368">
        <f>SUM(E9:E16)</f>
        <v>6893</v>
      </c>
      <c r="F17" s="368">
        <f>SUM(F9:F16)</f>
        <v>20900</v>
      </c>
      <c r="G17" s="623">
        <f t="shared" si="1"/>
        <v>8259</v>
      </c>
      <c r="H17" s="368">
        <f>SUM(H9:H16)</f>
        <v>7114</v>
      </c>
      <c r="I17" s="368">
        <f>SUM(I9:I16)</f>
        <v>5335</v>
      </c>
      <c r="J17" s="368">
        <f>SUM(J9:J16)</f>
        <v>10038</v>
      </c>
      <c r="K17" s="623">
        <f t="shared" si="2"/>
        <v>5892</v>
      </c>
      <c r="L17" s="368">
        <f>SUM(L9:L16)</f>
        <v>1637</v>
      </c>
      <c r="M17" s="368">
        <f>SUM(M9:M16)</f>
        <v>901</v>
      </c>
      <c r="N17" s="368">
        <f>SUM(N9:N16)</f>
        <v>6628</v>
      </c>
      <c r="O17" s="624">
        <f t="shared" si="3"/>
        <v>6578</v>
      </c>
      <c r="P17" s="374">
        <f>SUM(P9:P16)</f>
        <v>16121</v>
      </c>
      <c r="Q17" s="374">
        <f>SUM(Q9:Q16)</f>
        <v>15203</v>
      </c>
      <c r="R17" s="374">
        <f>SUM(R9:R16)</f>
        <v>14508</v>
      </c>
      <c r="S17" s="374">
        <f>SUM(S9:S16)</f>
        <v>8191</v>
      </c>
    </row>
    <row r="18" spans="1:19" s="59" customFormat="1" ht="13.5" customHeight="1" thickBot="1" thickTop="1">
      <c r="A18" s="569" t="s">
        <v>465</v>
      </c>
      <c r="B18" s="627">
        <f t="shared" si="0"/>
        <v>2796</v>
      </c>
      <c r="C18" s="628">
        <v>94</v>
      </c>
      <c r="D18" s="628">
        <v>90</v>
      </c>
      <c r="E18" s="628">
        <v>629</v>
      </c>
      <c r="F18" s="628">
        <v>2261</v>
      </c>
      <c r="G18" s="629">
        <f t="shared" si="1"/>
        <v>397</v>
      </c>
      <c r="H18" s="628">
        <v>176</v>
      </c>
      <c r="I18" s="628">
        <v>245</v>
      </c>
      <c r="J18" s="628">
        <v>328</v>
      </c>
      <c r="K18" s="629">
        <f t="shared" si="2"/>
        <v>839</v>
      </c>
      <c r="L18" s="628">
        <v>36</v>
      </c>
      <c r="M18" s="628">
        <v>193</v>
      </c>
      <c r="N18" s="628">
        <v>682</v>
      </c>
      <c r="O18" s="630">
        <f t="shared" si="3"/>
        <v>326</v>
      </c>
      <c r="P18" s="631">
        <v>252</v>
      </c>
      <c r="Q18" s="631">
        <v>252</v>
      </c>
      <c r="R18" s="631">
        <v>538</v>
      </c>
      <c r="S18" s="631">
        <v>40</v>
      </c>
    </row>
    <row r="19" spans="1:19" s="58" customFormat="1" ht="17.25" customHeight="1" thickTop="1">
      <c r="A19" s="107" t="s">
        <v>152</v>
      </c>
      <c r="B19" s="618">
        <f t="shared" si="0"/>
        <v>2779</v>
      </c>
      <c r="C19" s="625">
        <v>3084</v>
      </c>
      <c r="D19" s="625">
        <v>1676</v>
      </c>
      <c r="E19" s="625">
        <v>1280</v>
      </c>
      <c r="F19" s="625">
        <v>4583</v>
      </c>
      <c r="G19" s="619">
        <f t="shared" si="1"/>
        <v>751</v>
      </c>
      <c r="H19" s="626">
        <v>2808</v>
      </c>
      <c r="I19" s="626">
        <v>2248</v>
      </c>
      <c r="J19" s="626">
        <v>1311</v>
      </c>
      <c r="K19" s="619">
        <f t="shared" si="2"/>
        <v>2769</v>
      </c>
      <c r="L19" s="625">
        <v>501</v>
      </c>
      <c r="M19" s="625">
        <v>461</v>
      </c>
      <c r="N19" s="625">
        <v>2809</v>
      </c>
      <c r="O19" s="619">
        <f t="shared" si="3"/>
        <v>875</v>
      </c>
      <c r="P19" s="636">
        <v>4883</v>
      </c>
      <c r="Q19" s="636">
        <v>3555</v>
      </c>
      <c r="R19" s="636">
        <v>4438</v>
      </c>
      <c r="S19" s="636">
        <v>1320</v>
      </c>
    </row>
    <row r="20" spans="1:19" s="58" customFormat="1" ht="15" customHeight="1">
      <c r="A20" s="104" t="s">
        <v>153</v>
      </c>
      <c r="B20" s="266">
        <f t="shared" si="0"/>
        <v>1340</v>
      </c>
      <c r="C20" s="367">
        <v>48</v>
      </c>
      <c r="D20" s="367">
        <v>48</v>
      </c>
      <c r="E20" s="367">
        <v>1388</v>
      </c>
      <c r="F20" s="367">
        <v>0</v>
      </c>
      <c r="G20" s="268">
        <f t="shared" si="1"/>
        <v>292</v>
      </c>
      <c r="H20" s="371">
        <v>42</v>
      </c>
      <c r="I20" s="371">
        <v>334</v>
      </c>
      <c r="J20" s="371">
        <v>0</v>
      </c>
      <c r="K20" s="268">
        <f t="shared" si="2"/>
        <v>0</v>
      </c>
      <c r="L20" s="367"/>
      <c r="M20" s="367"/>
      <c r="N20" s="367"/>
      <c r="O20" s="268">
        <f t="shared" si="3"/>
        <v>41</v>
      </c>
      <c r="P20" s="615">
        <v>77</v>
      </c>
      <c r="Q20" s="615">
        <v>77</v>
      </c>
      <c r="R20" s="615">
        <v>118</v>
      </c>
      <c r="S20" s="615">
        <v>0</v>
      </c>
    </row>
    <row r="21" spans="1:19" s="59" customFormat="1" ht="15" customHeight="1" thickBot="1">
      <c r="A21" s="108" t="s">
        <v>154</v>
      </c>
      <c r="B21" s="634">
        <f t="shared" si="0"/>
        <v>6915</v>
      </c>
      <c r="C21" s="368">
        <f>SUM(C18:C20)</f>
        <v>3226</v>
      </c>
      <c r="D21" s="368">
        <f>SUM(D18:D20)</f>
        <v>1814</v>
      </c>
      <c r="E21" s="368">
        <f>SUM(E18:E20)</f>
        <v>3297</v>
      </c>
      <c r="F21" s="368">
        <f>SUM(F18:F20)</f>
        <v>6844</v>
      </c>
      <c r="G21" s="624">
        <f t="shared" si="1"/>
        <v>1440</v>
      </c>
      <c r="H21" s="368">
        <f>SUM(H18:H20)</f>
        <v>3026</v>
      </c>
      <c r="I21" s="368">
        <f>SUM(I18:I20)</f>
        <v>2827</v>
      </c>
      <c r="J21" s="368">
        <f>SUM(J18:J20)</f>
        <v>1639</v>
      </c>
      <c r="K21" s="624">
        <f t="shared" si="2"/>
        <v>3608</v>
      </c>
      <c r="L21" s="368">
        <f>SUM(L18:L20)</f>
        <v>537</v>
      </c>
      <c r="M21" s="368">
        <f>SUM(M18:M20)</f>
        <v>654</v>
      </c>
      <c r="N21" s="368">
        <f>SUM(N18:N20)</f>
        <v>3491</v>
      </c>
      <c r="O21" s="624">
        <f t="shared" si="3"/>
        <v>1242</v>
      </c>
      <c r="P21" s="635">
        <f>SUM(P18:P20)</f>
        <v>5212</v>
      </c>
      <c r="Q21" s="635">
        <f>SUM(Q18:Q20)</f>
        <v>3884</v>
      </c>
      <c r="R21" s="635">
        <f>SUM(R18:R20)</f>
        <v>5094</v>
      </c>
      <c r="S21" s="635">
        <f>SUM(S18:S20)</f>
        <v>1360</v>
      </c>
    </row>
    <row r="22" spans="1:19" s="58" customFormat="1" ht="15" customHeight="1" thickTop="1">
      <c r="A22" s="109" t="s">
        <v>155</v>
      </c>
      <c r="B22" s="632">
        <f t="shared" si="0"/>
        <v>6982</v>
      </c>
      <c r="C22" s="576">
        <v>6524</v>
      </c>
      <c r="D22" s="576">
        <v>2224</v>
      </c>
      <c r="E22" s="576">
        <v>3576</v>
      </c>
      <c r="F22" s="576">
        <v>9930</v>
      </c>
      <c r="G22" s="633">
        <f t="shared" si="1"/>
        <v>1245</v>
      </c>
      <c r="H22" s="626">
        <v>5703</v>
      </c>
      <c r="I22" s="626">
        <v>2615</v>
      </c>
      <c r="J22" s="626">
        <v>4333</v>
      </c>
      <c r="K22" s="619">
        <f t="shared" si="2"/>
        <v>3015</v>
      </c>
      <c r="L22" s="625">
        <v>463</v>
      </c>
      <c r="M22" s="625">
        <v>680</v>
      </c>
      <c r="N22" s="625">
        <v>2798</v>
      </c>
      <c r="O22" s="619">
        <f t="shared" si="3"/>
        <v>1237</v>
      </c>
      <c r="P22" s="621">
        <v>4183</v>
      </c>
      <c r="Q22" s="621">
        <v>3989</v>
      </c>
      <c r="R22" s="621">
        <v>4558</v>
      </c>
      <c r="S22" s="621">
        <v>862</v>
      </c>
    </row>
    <row r="23" spans="1:19" s="58" customFormat="1" ht="15" customHeight="1">
      <c r="A23" s="104" t="s">
        <v>156</v>
      </c>
      <c r="B23" s="575">
        <f t="shared" si="0"/>
        <v>1273</v>
      </c>
      <c r="C23" s="577">
        <v>46</v>
      </c>
      <c r="D23" s="577">
        <v>46</v>
      </c>
      <c r="E23" s="577">
        <v>1319</v>
      </c>
      <c r="F23" s="577">
        <v>0</v>
      </c>
      <c r="G23" s="573">
        <f t="shared" si="1"/>
        <v>455</v>
      </c>
      <c r="H23" s="372">
        <v>12</v>
      </c>
      <c r="I23" s="372">
        <v>467</v>
      </c>
      <c r="J23" s="372">
        <v>0</v>
      </c>
      <c r="K23" s="573">
        <f t="shared" si="2"/>
        <v>0</v>
      </c>
      <c r="L23" s="372">
        <v>0</v>
      </c>
      <c r="M23" s="372">
        <v>0</v>
      </c>
      <c r="N23" s="372">
        <v>0</v>
      </c>
      <c r="O23" s="268">
        <f t="shared" si="3"/>
        <v>80</v>
      </c>
      <c r="P23" s="682">
        <v>30</v>
      </c>
      <c r="Q23" s="682">
        <v>30</v>
      </c>
      <c r="R23" s="682">
        <v>110</v>
      </c>
      <c r="S23" s="361">
        <v>0</v>
      </c>
    </row>
    <row r="24" spans="1:19" s="262" customFormat="1" ht="15" customHeight="1">
      <c r="A24" s="219" t="s">
        <v>157</v>
      </c>
      <c r="B24" s="575">
        <f t="shared" si="0"/>
        <v>1844</v>
      </c>
      <c r="C24" s="578">
        <v>70</v>
      </c>
      <c r="D24" s="578">
        <v>70</v>
      </c>
      <c r="E24" s="578">
        <v>1914</v>
      </c>
      <c r="F24" s="578">
        <v>0</v>
      </c>
      <c r="G24" s="573">
        <f t="shared" si="1"/>
        <v>324</v>
      </c>
      <c r="H24" s="373">
        <v>77</v>
      </c>
      <c r="I24" s="373">
        <v>401</v>
      </c>
      <c r="J24" s="373">
        <v>0</v>
      </c>
      <c r="K24" s="573">
        <f t="shared" si="2"/>
        <v>0</v>
      </c>
      <c r="L24" s="373">
        <v>0</v>
      </c>
      <c r="M24" s="373">
        <v>0</v>
      </c>
      <c r="N24" s="373">
        <v>0</v>
      </c>
      <c r="O24" s="268">
        <f t="shared" si="3"/>
        <v>77</v>
      </c>
      <c r="P24" s="682">
        <v>44</v>
      </c>
      <c r="Q24" s="682">
        <v>44</v>
      </c>
      <c r="R24" s="682">
        <v>121</v>
      </c>
      <c r="S24" s="376">
        <v>0</v>
      </c>
    </row>
    <row r="25" spans="1:19" s="58" customFormat="1" ht="15" customHeight="1">
      <c r="A25" s="222" t="s">
        <v>158</v>
      </c>
      <c r="B25" s="575">
        <f t="shared" si="0"/>
        <v>1324</v>
      </c>
      <c r="C25" s="577">
        <v>28</v>
      </c>
      <c r="D25" s="577">
        <v>28</v>
      </c>
      <c r="E25" s="577">
        <v>1352</v>
      </c>
      <c r="F25" s="577">
        <v>0</v>
      </c>
      <c r="G25" s="573">
        <f t="shared" si="1"/>
        <v>703</v>
      </c>
      <c r="H25" s="372">
        <v>19</v>
      </c>
      <c r="I25" s="372">
        <v>722</v>
      </c>
      <c r="J25" s="372">
        <v>0</v>
      </c>
      <c r="K25" s="573">
        <f t="shared" si="2"/>
        <v>0</v>
      </c>
      <c r="L25" s="372">
        <v>0</v>
      </c>
      <c r="M25" s="372">
        <v>0</v>
      </c>
      <c r="N25" s="372">
        <v>0</v>
      </c>
      <c r="O25" s="268">
        <f t="shared" si="3"/>
        <v>65</v>
      </c>
      <c r="P25" s="682">
        <v>22</v>
      </c>
      <c r="Q25" s="682">
        <v>22</v>
      </c>
      <c r="R25" s="682">
        <v>87</v>
      </c>
      <c r="S25" s="361">
        <v>0</v>
      </c>
    </row>
    <row r="26" spans="1:19" s="59" customFormat="1" ht="13.5" thickBot="1">
      <c r="A26" s="348" t="s">
        <v>159</v>
      </c>
      <c r="B26" s="638">
        <f t="shared" si="0"/>
        <v>11423</v>
      </c>
      <c r="C26" s="579">
        <f>SUM(C22:C25)</f>
        <v>6668</v>
      </c>
      <c r="D26" s="579">
        <f>SUM(D22:D25)</f>
        <v>2368</v>
      </c>
      <c r="E26" s="579">
        <f>SUM(E22:E25)</f>
        <v>8161</v>
      </c>
      <c r="F26" s="579">
        <f>SUM(F22:F25)</f>
        <v>9930</v>
      </c>
      <c r="G26" s="638">
        <f aca="true" t="shared" si="4" ref="G26:S26">SUM(G22:G25)</f>
        <v>2727</v>
      </c>
      <c r="H26" s="368">
        <f t="shared" si="4"/>
        <v>5811</v>
      </c>
      <c r="I26" s="368">
        <f t="shared" si="4"/>
        <v>4205</v>
      </c>
      <c r="J26" s="368">
        <f t="shared" si="4"/>
        <v>4333</v>
      </c>
      <c r="K26" s="638">
        <f t="shared" si="4"/>
        <v>3015</v>
      </c>
      <c r="L26" s="368">
        <f t="shared" si="4"/>
        <v>463</v>
      </c>
      <c r="M26" s="368">
        <f t="shared" si="4"/>
        <v>680</v>
      </c>
      <c r="N26" s="368">
        <f t="shared" si="4"/>
        <v>2798</v>
      </c>
      <c r="O26" s="624">
        <f t="shared" si="3"/>
        <v>1459</v>
      </c>
      <c r="P26" s="374">
        <f t="shared" si="4"/>
        <v>4279</v>
      </c>
      <c r="Q26" s="374">
        <f t="shared" si="4"/>
        <v>4085</v>
      </c>
      <c r="R26" s="374">
        <f t="shared" si="4"/>
        <v>4876</v>
      </c>
      <c r="S26" s="374">
        <f t="shared" si="4"/>
        <v>862</v>
      </c>
    </row>
    <row r="27" spans="1:19" s="59" customFormat="1" ht="14.25" customHeight="1" thickBot="1" thickTop="1">
      <c r="A27" s="569" t="s">
        <v>5</v>
      </c>
      <c r="B27" s="637">
        <f aca="true" t="shared" si="5" ref="B27:G27">SUM(B8,B17,B21,B26)</f>
        <v>38620</v>
      </c>
      <c r="C27" s="634">
        <f t="shared" si="5"/>
        <v>22910</v>
      </c>
      <c r="D27" s="634">
        <f t="shared" si="5"/>
        <v>8941</v>
      </c>
      <c r="E27" s="634">
        <f t="shared" si="5"/>
        <v>19011</v>
      </c>
      <c r="F27" s="634">
        <f t="shared" si="5"/>
        <v>42519</v>
      </c>
      <c r="G27" s="637">
        <f t="shared" si="5"/>
        <v>13318</v>
      </c>
      <c r="H27" s="368">
        <f>H8+H17+H21+H26</f>
        <v>16776</v>
      </c>
      <c r="I27" s="368">
        <f>I8+I17+I21+I26</f>
        <v>13593</v>
      </c>
      <c r="J27" s="368">
        <f>J8+J17+J21+J26</f>
        <v>16501</v>
      </c>
      <c r="K27" s="637">
        <f>SUM(K8,K17,K21,K26)</f>
        <v>13785</v>
      </c>
      <c r="L27" s="368">
        <f>L8+L17+L21+L26</f>
        <v>2793</v>
      </c>
      <c r="M27" s="368">
        <f>M8+M17+M21+M26</f>
        <v>2458</v>
      </c>
      <c r="N27" s="368">
        <f>N8+N17+N21+N26</f>
        <v>14120</v>
      </c>
      <c r="O27" s="639">
        <f t="shared" si="3"/>
        <v>10078</v>
      </c>
      <c r="P27" s="635">
        <f>P8+P17+P21+P26</f>
        <v>26930</v>
      </c>
      <c r="Q27" s="635">
        <f>Q8+Q17+Q21+Q26</f>
        <v>24426</v>
      </c>
      <c r="R27" s="635">
        <f>R8+R17+R21+R26</f>
        <v>26219</v>
      </c>
      <c r="S27" s="635">
        <f>S8+S17+S21+S26</f>
        <v>10789</v>
      </c>
    </row>
    <row r="28" spans="1:19" s="59" customFormat="1" ht="14.25" customHeight="1" thickTop="1">
      <c r="A28" s="765" t="s">
        <v>485</v>
      </c>
      <c r="B28" s="766"/>
      <c r="C28" s="766"/>
      <c r="D28" s="766"/>
      <c r="E28" s="766"/>
      <c r="F28" s="766"/>
      <c r="G28" s="766"/>
      <c r="H28" s="766"/>
      <c r="I28" s="766"/>
      <c r="J28" s="766"/>
      <c r="K28" s="766"/>
      <c r="L28" s="766"/>
      <c r="M28" s="766"/>
      <c r="N28" s="766"/>
      <c r="O28" s="766"/>
      <c r="P28" s="351"/>
      <c r="Q28" s="351"/>
      <c r="R28" s="351"/>
      <c r="S28" s="351"/>
    </row>
    <row r="29" spans="1:21" s="60" customFormat="1" ht="15" customHeight="1">
      <c r="A29" s="708" t="s">
        <v>488</v>
      </c>
      <c r="B29" s="269"/>
      <c r="C29" s="269"/>
      <c r="D29" s="269"/>
      <c r="E29" s="269"/>
      <c r="F29" s="269"/>
      <c r="G29" s="269"/>
      <c r="H29" s="269"/>
      <c r="I29" s="270"/>
      <c r="J29" s="270"/>
      <c r="K29" s="271"/>
      <c r="L29" s="271"/>
      <c r="M29" s="271"/>
      <c r="N29" s="271"/>
      <c r="O29" s="271"/>
      <c r="P29" s="252"/>
      <c r="Q29" s="252"/>
      <c r="R29" s="252"/>
      <c r="S29" s="252"/>
      <c r="T29" s="111"/>
      <c r="U29" s="112"/>
    </row>
    <row r="30" spans="1:21" s="60" customFormat="1" ht="20.25" customHeight="1">
      <c r="A30" s="770" t="s">
        <v>484</v>
      </c>
      <c r="B30" s="746"/>
      <c r="C30" s="746"/>
      <c r="D30" s="746"/>
      <c r="E30" s="746"/>
      <c r="F30" s="775"/>
      <c r="G30" s="775"/>
      <c r="H30" s="775"/>
      <c r="I30" s="775"/>
      <c r="J30" s="775"/>
      <c r="K30" s="775"/>
      <c r="L30" s="775"/>
      <c r="M30" s="775"/>
      <c r="N30" s="775"/>
      <c r="O30" s="775"/>
      <c r="P30" s="775"/>
      <c r="Q30" s="775"/>
      <c r="R30" s="252"/>
      <c r="S30" s="252"/>
      <c r="T30" s="252"/>
      <c r="U30" s="112"/>
    </row>
    <row r="31" spans="1:21" s="60" customFormat="1" ht="15" customHeight="1">
      <c r="A31" s="110"/>
      <c r="B31" s="269"/>
      <c r="C31" s="269"/>
      <c r="D31" s="269"/>
      <c r="E31" s="269"/>
      <c r="F31" s="269"/>
      <c r="G31" s="269"/>
      <c r="H31" s="269"/>
      <c r="I31" s="269"/>
      <c r="J31" s="269"/>
      <c r="K31" s="269"/>
      <c r="L31" s="269"/>
      <c r="M31" s="271"/>
      <c r="N31" s="271"/>
      <c r="O31" s="252"/>
      <c r="P31" s="111"/>
      <c r="Q31" s="111"/>
      <c r="R31" s="111"/>
      <c r="S31" s="111"/>
      <c r="T31" s="111"/>
      <c r="U31" s="112"/>
    </row>
    <row r="32" spans="1:19" s="60" customFormat="1" ht="28.5" customHeight="1">
      <c r="A32" s="738" t="s">
        <v>0</v>
      </c>
      <c r="B32" s="767" t="s">
        <v>53</v>
      </c>
      <c r="C32" s="768"/>
      <c r="D32" s="768"/>
      <c r="E32" s="769"/>
      <c r="F32" s="759" t="s">
        <v>9</v>
      </c>
      <c r="G32" s="760"/>
      <c r="H32" s="760"/>
      <c r="I32" s="761"/>
      <c r="J32" s="759" t="s">
        <v>59</v>
      </c>
      <c r="K32" s="760"/>
      <c r="L32" s="760"/>
      <c r="M32" s="761"/>
      <c r="N32" s="762" t="s">
        <v>60</v>
      </c>
      <c r="O32" s="763"/>
      <c r="P32" s="763"/>
      <c r="Q32" s="764"/>
      <c r="S32" s="542"/>
    </row>
    <row r="33" spans="1:19" s="60" customFormat="1" ht="24" customHeight="1" thickBot="1">
      <c r="A33" s="739"/>
      <c r="B33" s="286" t="s">
        <v>222</v>
      </c>
      <c r="C33" s="286" t="s">
        <v>1</v>
      </c>
      <c r="D33" s="539" t="s">
        <v>2</v>
      </c>
      <c r="E33" s="286" t="s">
        <v>3</v>
      </c>
      <c r="F33" s="286" t="s">
        <v>222</v>
      </c>
      <c r="G33" s="286" t="s">
        <v>1</v>
      </c>
      <c r="H33" s="286" t="s">
        <v>2</v>
      </c>
      <c r="I33" s="286" t="s">
        <v>3</v>
      </c>
      <c r="J33" s="286" t="s">
        <v>222</v>
      </c>
      <c r="K33" s="286" t="s">
        <v>1</v>
      </c>
      <c r="L33" s="286" t="s">
        <v>2</v>
      </c>
      <c r="M33" s="286" t="s">
        <v>3</v>
      </c>
      <c r="N33" s="287" t="s">
        <v>222</v>
      </c>
      <c r="O33" s="287" t="s">
        <v>1</v>
      </c>
      <c r="P33" s="287" t="s">
        <v>2</v>
      </c>
      <c r="Q33" s="287" t="s">
        <v>3</v>
      </c>
      <c r="R33" s="556"/>
      <c r="S33" s="543"/>
    </row>
    <row r="34" spans="1:19" s="60" customFormat="1" ht="14.25" customHeight="1" thickBot="1" thickTop="1">
      <c r="A34" s="285" t="s">
        <v>137</v>
      </c>
      <c r="B34" s="591">
        <f aca="true" t="shared" si="6" ref="B34:B40">E34-C34+D34</f>
        <v>2290</v>
      </c>
      <c r="C34" s="599">
        <v>624</v>
      </c>
      <c r="D34" s="599">
        <v>701</v>
      </c>
      <c r="E34" s="611">
        <v>2213</v>
      </c>
      <c r="F34" s="596">
        <f aca="true" t="shared" si="7" ref="F34:F39">I34+H34-G34</f>
        <v>2257</v>
      </c>
      <c r="G34" s="599">
        <v>530</v>
      </c>
      <c r="H34" s="599">
        <v>848</v>
      </c>
      <c r="I34" s="599">
        <v>1939</v>
      </c>
      <c r="J34" s="596">
        <f aca="true" t="shared" si="8" ref="J34:J39">M34+L34-K34</f>
        <v>105</v>
      </c>
      <c r="K34" s="600">
        <f>57+43</f>
        <v>100</v>
      </c>
      <c r="L34" s="600">
        <f>50+36</f>
        <v>86</v>
      </c>
      <c r="M34" s="600">
        <f>79+40</f>
        <v>119</v>
      </c>
      <c r="N34" s="591">
        <f>Q34-O34+P34</f>
        <v>87</v>
      </c>
      <c r="O34" s="601">
        <f>43+15</f>
        <v>58</v>
      </c>
      <c r="P34" s="601">
        <f>44+25</f>
        <v>69</v>
      </c>
      <c r="Q34" s="602">
        <f>60+16</f>
        <v>76</v>
      </c>
      <c r="R34" s="556"/>
      <c r="S34" s="544"/>
    </row>
    <row r="35" spans="1:19" s="60" customFormat="1" ht="14.25" customHeight="1">
      <c r="A35" s="281" t="s">
        <v>139</v>
      </c>
      <c r="B35" s="587">
        <f t="shared" si="6"/>
        <v>1063</v>
      </c>
      <c r="C35" s="588">
        <v>281</v>
      </c>
      <c r="D35" s="588">
        <v>212</v>
      </c>
      <c r="E35" s="612">
        <v>1132</v>
      </c>
      <c r="F35" s="587">
        <f t="shared" si="7"/>
        <v>1567</v>
      </c>
      <c r="G35" s="588">
        <v>1033</v>
      </c>
      <c r="H35" s="588">
        <v>482</v>
      </c>
      <c r="I35" s="588">
        <v>2118</v>
      </c>
      <c r="J35" s="587">
        <f t="shared" si="8"/>
        <v>333</v>
      </c>
      <c r="K35" s="588">
        <f>116+127</f>
        <v>243</v>
      </c>
      <c r="L35" s="588">
        <f>90+126</f>
        <v>216</v>
      </c>
      <c r="M35" s="588">
        <f>323+37</f>
        <v>360</v>
      </c>
      <c r="N35" s="587">
        <f aca="true" t="shared" si="9" ref="N35:N40">Q35-O35+P35</f>
        <v>119</v>
      </c>
      <c r="O35" s="589">
        <f>54+51</f>
        <v>105</v>
      </c>
      <c r="P35" s="589">
        <f>33+35</f>
        <v>68</v>
      </c>
      <c r="Q35" s="590">
        <f>142+14</f>
        <v>156</v>
      </c>
      <c r="R35" s="556"/>
      <c r="S35" s="545"/>
    </row>
    <row r="36" spans="1:19" ht="14.25" customHeight="1">
      <c r="A36" s="113" t="s">
        <v>142</v>
      </c>
      <c r="B36" s="587">
        <f t="shared" si="6"/>
        <v>10984</v>
      </c>
      <c r="C36" s="588">
        <v>2652</v>
      </c>
      <c r="D36" s="588">
        <v>2189</v>
      </c>
      <c r="E36" s="612">
        <v>11447</v>
      </c>
      <c r="F36" s="587">
        <f t="shared" si="7"/>
        <v>12497</v>
      </c>
      <c r="G36" s="588">
        <v>1877</v>
      </c>
      <c r="H36" s="588">
        <v>3589</v>
      </c>
      <c r="I36" s="588">
        <v>10785</v>
      </c>
      <c r="J36" s="587">
        <f t="shared" si="8"/>
        <v>2642</v>
      </c>
      <c r="K36" s="588">
        <f>1257+1329</f>
        <v>2586</v>
      </c>
      <c r="L36" s="588">
        <f>916+1096</f>
        <v>2012</v>
      </c>
      <c r="M36" s="588">
        <f>2428+788</f>
        <v>3216</v>
      </c>
      <c r="N36" s="587">
        <f t="shared" si="9"/>
        <v>1153</v>
      </c>
      <c r="O36" s="589">
        <f>585+535</f>
        <v>1120</v>
      </c>
      <c r="P36" s="589">
        <f>538+488</f>
        <v>1026</v>
      </c>
      <c r="Q36" s="590">
        <f>898+349</f>
        <v>1247</v>
      </c>
      <c r="R36" s="557"/>
      <c r="S36" s="545"/>
    </row>
    <row r="37" spans="1:19" ht="14.25" customHeight="1">
      <c r="A37" s="570" t="s">
        <v>466</v>
      </c>
      <c r="B37" s="587">
        <f t="shared" si="6"/>
        <v>1003</v>
      </c>
      <c r="C37" s="588">
        <v>60</v>
      </c>
      <c r="D37" s="588">
        <v>220</v>
      </c>
      <c r="E37" s="612">
        <v>843</v>
      </c>
      <c r="F37" s="587">
        <f t="shared" si="7"/>
        <v>472</v>
      </c>
      <c r="G37" s="588">
        <v>107</v>
      </c>
      <c r="H37" s="588">
        <v>245</v>
      </c>
      <c r="I37" s="588">
        <v>334</v>
      </c>
      <c r="J37" s="587">
        <f t="shared" si="8"/>
        <v>175</v>
      </c>
      <c r="K37" s="588">
        <f>13+11</f>
        <v>24</v>
      </c>
      <c r="L37" s="588">
        <f>68+27</f>
        <v>95</v>
      </c>
      <c r="M37" s="588">
        <v>104</v>
      </c>
      <c r="N37" s="587">
        <f t="shared" si="9"/>
        <v>122</v>
      </c>
      <c r="O37" s="588">
        <v>6</v>
      </c>
      <c r="P37" s="588">
        <f>44+26</f>
        <v>70</v>
      </c>
      <c r="Q37" s="588">
        <v>58</v>
      </c>
      <c r="R37" s="557"/>
      <c r="S37" s="546"/>
    </row>
    <row r="38" spans="1:19" ht="14.25" customHeight="1">
      <c r="A38" s="114" t="s">
        <v>152</v>
      </c>
      <c r="B38" s="591">
        <f t="shared" si="6"/>
        <v>2093</v>
      </c>
      <c r="C38" s="603">
        <v>695</v>
      </c>
      <c r="D38" s="603">
        <v>618</v>
      </c>
      <c r="E38" s="611">
        <v>2170</v>
      </c>
      <c r="F38" s="591">
        <f t="shared" si="7"/>
        <v>2041</v>
      </c>
      <c r="G38" s="603">
        <v>724</v>
      </c>
      <c r="H38" s="603">
        <v>735</v>
      </c>
      <c r="I38" s="603">
        <v>2030</v>
      </c>
      <c r="J38" s="591">
        <f t="shared" si="8"/>
        <v>402</v>
      </c>
      <c r="K38" s="604">
        <f>189+250</f>
        <v>439</v>
      </c>
      <c r="L38" s="604">
        <f>142+186</f>
        <v>328</v>
      </c>
      <c r="M38" s="604">
        <f>344+169</f>
        <v>513</v>
      </c>
      <c r="N38" s="596">
        <f t="shared" si="9"/>
        <v>174</v>
      </c>
      <c r="O38" s="605">
        <f>110+117</f>
        <v>227</v>
      </c>
      <c r="P38" s="605">
        <f>63+94</f>
        <v>157</v>
      </c>
      <c r="Q38" s="606">
        <f>193+51</f>
        <v>244</v>
      </c>
      <c r="R38" s="557"/>
      <c r="S38" s="547"/>
    </row>
    <row r="39" spans="1:19" ht="14.25" customHeight="1" thickBot="1">
      <c r="A39" s="284" t="s">
        <v>155</v>
      </c>
      <c r="B39" s="587">
        <f t="shared" si="6"/>
        <v>2708</v>
      </c>
      <c r="C39" s="593">
        <v>949</v>
      </c>
      <c r="D39" s="593">
        <v>795</v>
      </c>
      <c r="E39" s="613">
        <v>2862</v>
      </c>
      <c r="F39" s="594">
        <f t="shared" si="7"/>
        <v>1630</v>
      </c>
      <c r="G39" s="593">
        <v>1507</v>
      </c>
      <c r="H39" s="593">
        <v>1315</v>
      </c>
      <c r="I39" s="593">
        <v>1822</v>
      </c>
      <c r="J39" s="594">
        <f t="shared" si="8"/>
        <v>1253</v>
      </c>
      <c r="K39" s="595">
        <f>378+514</f>
        <v>892</v>
      </c>
      <c r="L39" s="595">
        <f>487+613</f>
        <v>1100</v>
      </c>
      <c r="M39" s="595">
        <f>904+141</f>
        <v>1045</v>
      </c>
      <c r="N39" s="587">
        <f t="shared" si="9"/>
        <v>567</v>
      </c>
      <c r="O39" s="597">
        <f>200+225</f>
        <v>425</v>
      </c>
      <c r="P39" s="597">
        <f>192+249</f>
        <v>441</v>
      </c>
      <c r="Q39" s="598">
        <f>505+46</f>
        <v>551</v>
      </c>
      <c r="R39" s="557"/>
      <c r="S39" s="547"/>
    </row>
    <row r="40" spans="1:19" ht="14.25" customHeight="1" thickBot="1">
      <c r="A40" s="283" t="s">
        <v>227</v>
      </c>
      <c r="B40" s="586">
        <f t="shared" si="6"/>
        <v>17851</v>
      </c>
      <c r="C40" s="585">
        <f aca="true" t="shared" si="10" ref="C40:M40">SUM(C35:C39)</f>
        <v>4637</v>
      </c>
      <c r="D40" s="585">
        <f t="shared" si="10"/>
        <v>4034</v>
      </c>
      <c r="E40" s="585">
        <f t="shared" si="10"/>
        <v>18454</v>
      </c>
      <c r="F40" s="585">
        <f t="shared" si="10"/>
        <v>18207</v>
      </c>
      <c r="G40" s="585">
        <f t="shared" si="10"/>
        <v>5248</v>
      </c>
      <c r="H40" s="585">
        <f t="shared" si="10"/>
        <v>6366</v>
      </c>
      <c r="I40" s="585">
        <f t="shared" si="10"/>
        <v>17089</v>
      </c>
      <c r="J40" s="585">
        <f t="shared" si="10"/>
        <v>4805</v>
      </c>
      <c r="K40" s="585">
        <f t="shared" si="10"/>
        <v>4184</v>
      </c>
      <c r="L40" s="585">
        <f t="shared" si="10"/>
        <v>3751</v>
      </c>
      <c r="M40" s="585">
        <f t="shared" si="10"/>
        <v>5238</v>
      </c>
      <c r="N40" s="586">
        <f t="shared" si="9"/>
        <v>2135</v>
      </c>
      <c r="O40" s="585">
        <f>SUM(O35:O39)</f>
        <v>1883</v>
      </c>
      <c r="P40" s="585">
        <f>SUM(P35:P39)</f>
        <v>1762</v>
      </c>
      <c r="Q40" s="585">
        <f>SUM(Q35:Q39)</f>
        <v>2256</v>
      </c>
      <c r="R40" s="557"/>
      <c r="S40" s="275"/>
    </row>
    <row r="41" spans="15:20" ht="11.25">
      <c r="O41" s="275"/>
      <c r="T41" s="97"/>
    </row>
    <row r="42" spans="19:20" ht="11.25">
      <c r="S42" s="252"/>
      <c r="T42" s="97"/>
    </row>
    <row r="43" spans="1:20" ht="23.25" customHeight="1">
      <c r="A43" s="770" t="s">
        <v>483</v>
      </c>
      <c r="B43" s="776"/>
      <c r="C43" s="776"/>
      <c r="D43" s="776"/>
      <c r="E43" s="776"/>
      <c r="F43" s="776"/>
      <c r="G43" s="776"/>
      <c r="H43" s="776"/>
      <c r="I43" s="776"/>
      <c r="J43" s="776"/>
      <c r="K43" s="776"/>
      <c r="L43" s="776"/>
      <c r="M43" s="776"/>
      <c r="N43" s="776"/>
      <c r="O43" s="776"/>
      <c r="P43" s="776"/>
      <c r="Q43" s="252"/>
      <c r="R43" s="252"/>
      <c r="S43" s="252"/>
      <c r="T43" s="252"/>
    </row>
    <row r="44" spans="15:19" ht="11.25">
      <c r="O44" s="252"/>
      <c r="R44" s="252"/>
      <c r="S44" s="252"/>
    </row>
    <row r="45" spans="1:20" ht="25.5" customHeight="1">
      <c r="A45" s="757" t="s">
        <v>0</v>
      </c>
      <c r="B45" s="767" t="s">
        <v>10</v>
      </c>
      <c r="C45" s="768"/>
      <c r="D45" s="768"/>
      <c r="E45" s="769"/>
      <c r="F45" s="759" t="s">
        <v>17</v>
      </c>
      <c r="G45" s="760"/>
      <c r="H45" s="760"/>
      <c r="I45" s="761"/>
      <c r="J45" s="759" t="s">
        <v>300</v>
      </c>
      <c r="K45" s="760"/>
      <c r="L45" s="760"/>
      <c r="M45" s="761"/>
      <c r="N45" s="557"/>
      <c r="O45" s="542"/>
      <c r="Q45" s="97"/>
      <c r="R45" s="97"/>
      <c r="S45" s="97"/>
      <c r="T45" s="97"/>
    </row>
    <row r="46" spans="1:20" ht="11.25">
      <c r="A46" s="758"/>
      <c r="B46" s="265" t="s">
        <v>222</v>
      </c>
      <c r="C46" s="265" t="s">
        <v>1</v>
      </c>
      <c r="D46" s="550" t="s">
        <v>2</v>
      </c>
      <c r="E46" s="265" t="s">
        <v>3</v>
      </c>
      <c r="F46" s="265" t="s">
        <v>222</v>
      </c>
      <c r="G46" s="265" t="s">
        <v>1</v>
      </c>
      <c r="H46" s="265" t="s">
        <v>2</v>
      </c>
      <c r="I46" s="265" t="s">
        <v>3</v>
      </c>
      <c r="J46" s="265" t="s">
        <v>222</v>
      </c>
      <c r="K46" s="265" t="s">
        <v>1</v>
      </c>
      <c r="L46" s="265" t="s">
        <v>2</v>
      </c>
      <c r="M46" s="265" t="s">
        <v>3</v>
      </c>
      <c r="N46" s="557"/>
      <c r="O46" s="118"/>
      <c r="Q46" s="97"/>
      <c r="R46" s="97"/>
      <c r="S46" s="97"/>
      <c r="T46" s="97"/>
    </row>
    <row r="47" spans="1:20" ht="11.25">
      <c r="A47" s="102" t="s">
        <v>137</v>
      </c>
      <c r="B47" s="267"/>
      <c r="C47" s="272"/>
      <c r="D47" s="558"/>
      <c r="E47" s="272"/>
      <c r="F47" s="267"/>
      <c r="G47" s="272"/>
      <c r="H47" s="272"/>
      <c r="I47" s="272"/>
      <c r="J47" s="267">
        <f aca="true" t="shared" si="11" ref="J47:J53">M47+L47-K47</f>
        <v>0</v>
      </c>
      <c r="K47" s="272"/>
      <c r="L47" s="272"/>
      <c r="M47" s="272"/>
      <c r="N47" s="557"/>
      <c r="O47" s="540"/>
      <c r="Q47" s="97"/>
      <c r="R47" s="97"/>
      <c r="S47" s="97"/>
      <c r="T47" s="97"/>
    </row>
    <row r="48" spans="1:20" ht="12.75">
      <c r="A48" s="249" t="s">
        <v>139</v>
      </c>
      <c r="B48" s="267">
        <f aca="true" t="shared" si="12" ref="B48:B53">E48-C48+D48</f>
        <v>16</v>
      </c>
      <c r="C48" s="356">
        <v>59</v>
      </c>
      <c r="D48" s="559">
        <v>63</v>
      </c>
      <c r="E48" s="356">
        <v>12</v>
      </c>
      <c r="F48" s="273">
        <f>I48+H48-G48</f>
        <v>184</v>
      </c>
      <c r="G48" s="356">
        <v>17</v>
      </c>
      <c r="H48" s="356">
        <v>15</v>
      </c>
      <c r="I48" s="356">
        <v>186</v>
      </c>
      <c r="J48" s="267">
        <f t="shared" si="11"/>
        <v>0</v>
      </c>
      <c r="K48" s="370">
        <v>0</v>
      </c>
      <c r="L48" s="370">
        <v>0</v>
      </c>
      <c r="M48" s="370">
        <v>0</v>
      </c>
      <c r="N48" s="557"/>
      <c r="O48" s="540"/>
      <c r="Q48" s="97"/>
      <c r="R48" s="97"/>
      <c r="S48" s="97"/>
      <c r="T48" s="97"/>
    </row>
    <row r="49" spans="1:20" ht="12.75">
      <c r="A49" s="250" t="s">
        <v>142</v>
      </c>
      <c r="B49" s="267">
        <f t="shared" si="12"/>
        <v>257</v>
      </c>
      <c r="C49" s="356">
        <v>690</v>
      </c>
      <c r="D49" s="559">
        <v>726</v>
      </c>
      <c r="E49" s="356">
        <v>221</v>
      </c>
      <c r="F49" s="273">
        <f>I49+H49-G49</f>
        <v>1842</v>
      </c>
      <c r="G49" s="356">
        <v>209</v>
      </c>
      <c r="H49" s="356">
        <v>183</v>
      </c>
      <c r="I49" s="356">
        <v>1868</v>
      </c>
      <c r="J49" s="267">
        <f t="shared" si="11"/>
        <v>0</v>
      </c>
      <c r="K49" s="370">
        <v>1</v>
      </c>
      <c r="L49" s="370">
        <v>1</v>
      </c>
      <c r="M49" s="370">
        <v>0</v>
      </c>
      <c r="N49" s="557"/>
      <c r="O49" s="540"/>
      <c r="Q49" s="97"/>
      <c r="R49" s="97"/>
      <c r="S49" s="97"/>
      <c r="T49" s="97"/>
    </row>
    <row r="50" spans="1:20" ht="12.75">
      <c r="A50" s="571" t="s">
        <v>466</v>
      </c>
      <c r="B50" s="267">
        <f t="shared" si="12"/>
        <v>38</v>
      </c>
      <c r="C50" s="592">
        <v>11</v>
      </c>
      <c r="D50" s="679">
        <v>49</v>
      </c>
      <c r="E50" s="592">
        <v>0</v>
      </c>
      <c r="F50" s="680">
        <f>I50+H50-G50</f>
        <v>173</v>
      </c>
      <c r="G50" s="592">
        <v>14</v>
      </c>
      <c r="H50" s="592">
        <v>33</v>
      </c>
      <c r="I50" s="592">
        <v>154</v>
      </c>
      <c r="J50" s="267">
        <f t="shared" si="11"/>
        <v>0</v>
      </c>
      <c r="K50" s="588">
        <v>0</v>
      </c>
      <c r="L50" s="588">
        <v>0</v>
      </c>
      <c r="M50" s="366">
        <v>0</v>
      </c>
      <c r="N50" s="557"/>
      <c r="O50" s="540"/>
      <c r="Q50" s="97"/>
      <c r="R50" s="97"/>
      <c r="S50" s="97"/>
      <c r="T50" s="97"/>
    </row>
    <row r="51" spans="1:20" ht="12">
      <c r="A51" s="251" t="s">
        <v>152</v>
      </c>
      <c r="B51" s="282">
        <f t="shared" si="12"/>
        <v>133</v>
      </c>
      <c r="C51" s="608">
        <v>168</v>
      </c>
      <c r="D51" s="609">
        <v>206</v>
      </c>
      <c r="E51" s="608">
        <v>95</v>
      </c>
      <c r="F51" s="610">
        <f>I51+H51-G51</f>
        <v>354</v>
      </c>
      <c r="G51" s="608">
        <v>36</v>
      </c>
      <c r="H51" s="608">
        <v>35</v>
      </c>
      <c r="I51" s="608">
        <v>355</v>
      </c>
      <c r="J51" s="282">
        <f t="shared" si="11"/>
        <v>0</v>
      </c>
      <c r="K51" s="377">
        <v>0</v>
      </c>
      <c r="L51" s="377">
        <v>0</v>
      </c>
      <c r="M51" s="377">
        <v>0</v>
      </c>
      <c r="N51" s="557"/>
      <c r="O51" s="540"/>
      <c r="Q51" s="97"/>
      <c r="R51" s="97"/>
      <c r="S51" s="97"/>
      <c r="T51" s="97"/>
    </row>
    <row r="52" spans="1:20" ht="12">
      <c r="A52" s="251" t="s">
        <v>155</v>
      </c>
      <c r="B52" s="267">
        <f t="shared" si="12"/>
        <v>151</v>
      </c>
      <c r="C52" s="378">
        <v>275</v>
      </c>
      <c r="D52" s="560">
        <v>285</v>
      </c>
      <c r="E52" s="378">
        <v>141</v>
      </c>
      <c r="F52" s="273">
        <f>I52+H52-G52</f>
        <v>1044</v>
      </c>
      <c r="G52" s="378">
        <v>74</v>
      </c>
      <c r="H52" s="378">
        <v>115</v>
      </c>
      <c r="I52" s="378">
        <v>1003</v>
      </c>
      <c r="J52" s="267">
        <f t="shared" si="11"/>
        <v>0</v>
      </c>
      <c r="K52" s="377">
        <v>0</v>
      </c>
      <c r="L52" s="377">
        <v>0</v>
      </c>
      <c r="M52" s="377">
        <v>0</v>
      </c>
      <c r="N52" s="557"/>
      <c r="O52" s="540"/>
      <c r="Q52" s="97"/>
      <c r="R52" s="97"/>
      <c r="S52" s="97"/>
      <c r="T52" s="97"/>
    </row>
    <row r="53" spans="1:20" ht="11.25">
      <c r="A53" s="607" t="s">
        <v>5</v>
      </c>
      <c r="B53" s="574">
        <f t="shared" si="12"/>
        <v>595</v>
      </c>
      <c r="C53" s="574">
        <f aca="true" t="shared" si="13" ref="C53:I53">SUM(C48:C52)</f>
        <v>1203</v>
      </c>
      <c r="D53" s="574">
        <f t="shared" si="13"/>
        <v>1329</v>
      </c>
      <c r="E53" s="574">
        <f t="shared" si="13"/>
        <v>469</v>
      </c>
      <c r="F53" s="574">
        <f t="shared" si="13"/>
        <v>3597</v>
      </c>
      <c r="G53" s="574">
        <f t="shared" si="13"/>
        <v>350</v>
      </c>
      <c r="H53" s="574">
        <f t="shared" si="13"/>
        <v>381</v>
      </c>
      <c r="I53" s="574">
        <f t="shared" si="13"/>
        <v>3566</v>
      </c>
      <c r="J53" s="574">
        <f t="shared" si="11"/>
        <v>0</v>
      </c>
      <c r="K53" s="574">
        <f>SUM(K48:K52)</f>
        <v>1</v>
      </c>
      <c r="L53" s="574">
        <f>SUM(L48:L52)</f>
        <v>1</v>
      </c>
      <c r="M53" s="574">
        <f>SUM(M48:M52)</f>
        <v>0</v>
      </c>
      <c r="N53" s="557"/>
      <c r="O53" s="541"/>
      <c r="Q53" s="97"/>
      <c r="R53" s="97"/>
      <c r="S53" s="97"/>
      <c r="T53" s="97"/>
    </row>
    <row r="54" ht="11.25">
      <c r="O54" s="276"/>
    </row>
    <row r="60" spans="1:6" ht="12.75" customHeight="1">
      <c r="A60" s="757" t="s">
        <v>0</v>
      </c>
      <c r="B60" s="759" t="s">
        <v>19</v>
      </c>
      <c r="C60" s="763"/>
      <c r="D60" s="763"/>
      <c r="E60" s="764"/>
      <c r="F60" s="549"/>
    </row>
    <row r="61" spans="1:6" ht="33" customHeight="1">
      <c r="A61" s="758"/>
      <c r="B61" s="555" t="s">
        <v>222</v>
      </c>
      <c r="C61" s="555" t="s">
        <v>1</v>
      </c>
      <c r="D61" s="554" t="s">
        <v>2</v>
      </c>
      <c r="E61" s="555" t="s">
        <v>3</v>
      </c>
      <c r="F61" s="552"/>
    </row>
    <row r="62" spans="1:6" ht="12.75">
      <c r="A62" s="102" t="s">
        <v>137</v>
      </c>
      <c r="B62" s="267">
        <f>E62-C62+D62</f>
        <v>15</v>
      </c>
      <c r="C62" s="362">
        <v>265</v>
      </c>
      <c r="D62" s="548">
        <v>211</v>
      </c>
      <c r="E62" s="551">
        <v>69</v>
      </c>
      <c r="F62" s="553"/>
    </row>
  </sheetData>
  <sheetProtection/>
  <mergeCells count="20">
    <mergeCell ref="A28:O28"/>
    <mergeCell ref="B32:E32"/>
    <mergeCell ref="B45:E45"/>
    <mergeCell ref="A1:T1"/>
    <mergeCell ref="A3:A4"/>
    <mergeCell ref="B3:F3"/>
    <mergeCell ref="G3:J3"/>
    <mergeCell ref="K3:N3"/>
    <mergeCell ref="A30:Q30"/>
    <mergeCell ref="A43:P43"/>
    <mergeCell ref="O3:S3"/>
    <mergeCell ref="A60:A61"/>
    <mergeCell ref="A32:A33"/>
    <mergeCell ref="F32:I32"/>
    <mergeCell ref="J32:M32"/>
    <mergeCell ref="A45:A46"/>
    <mergeCell ref="F45:I45"/>
    <mergeCell ref="J45:M45"/>
    <mergeCell ref="N32:Q32"/>
    <mergeCell ref="B60:E60"/>
  </mergeCells>
  <printOptions/>
  <pageMargins left="0" right="0" top="0" bottom="0" header="0" footer="0"/>
  <pageSetup horizontalDpi="600" verticalDpi="600" orientation="landscape" paperSize="9" scale="90"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R61"/>
  <sheetViews>
    <sheetView zoomScale="80" zoomScaleNormal="80" zoomScalePageLayoutView="0" workbookViewId="0" topLeftCell="A1">
      <selection activeCell="A42" sqref="A42:Q42"/>
    </sheetView>
  </sheetViews>
  <sheetFormatPr defaultColWidth="9.140625" defaultRowHeight="12.75"/>
  <cols>
    <col min="1" max="1" width="33.00390625" style="97" customWidth="1"/>
    <col min="2" max="2" width="11.57421875" style="118" customWidth="1"/>
    <col min="3" max="3" width="11.421875" style="118" customWidth="1"/>
    <col min="4" max="4" width="11.28125" style="118" bestFit="1" customWidth="1"/>
    <col min="5" max="5" width="9.8515625" style="118" customWidth="1"/>
    <col min="6" max="6" width="11.57421875" style="118" customWidth="1"/>
    <col min="7" max="7" width="10.421875" style="118" customWidth="1"/>
    <col min="8" max="8" width="11.7109375" style="118" customWidth="1"/>
    <col min="9" max="9" width="8.28125" style="118" customWidth="1"/>
    <col min="10" max="10" width="11.421875" style="118" customWidth="1"/>
    <col min="11" max="11" width="10.8515625" style="118" customWidth="1"/>
    <col min="12" max="12" width="13.421875" style="118" customWidth="1"/>
    <col min="13" max="13" width="8.140625" style="118" customWidth="1"/>
    <col min="14" max="14" width="11.8515625" style="118" customWidth="1"/>
    <col min="15" max="17" width="9.7109375" style="118" customWidth="1"/>
    <col min="18" max="16384" width="9.140625" style="97" customWidth="1"/>
  </cols>
  <sheetData>
    <row r="1" spans="1:17" s="58" customFormat="1" ht="21" customHeight="1">
      <c r="A1" s="779" t="s">
        <v>371</v>
      </c>
      <c r="B1" s="779"/>
      <c r="C1" s="779"/>
      <c r="D1" s="779"/>
      <c r="E1" s="779"/>
      <c r="F1" s="779"/>
      <c r="G1" s="779"/>
      <c r="H1" s="779"/>
      <c r="I1" s="779"/>
      <c r="J1" s="779"/>
      <c r="K1" s="779"/>
      <c r="L1" s="779"/>
      <c r="M1" s="779"/>
      <c r="N1" s="144"/>
      <c r="O1" s="144"/>
      <c r="P1" s="144"/>
      <c r="Q1" s="144"/>
    </row>
    <row r="2" spans="1:17" s="58" customFormat="1" ht="12.75" customHeight="1">
      <c r="A2" s="98"/>
      <c r="B2" s="99"/>
      <c r="C2" s="99"/>
      <c r="D2" s="99"/>
      <c r="E2" s="99"/>
      <c r="F2" s="100"/>
      <c r="G2" s="100"/>
      <c r="H2" s="100"/>
      <c r="I2" s="100"/>
      <c r="J2" s="100"/>
      <c r="K2" s="100"/>
      <c r="L2" s="100"/>
      <c r="M2" s="100"/>
      <c r="N2" s="101"/>
      <c r="O2" s="101"/>
      <c r="P2" s="101"/>
      <c r="Q2" s="101"/>
    </row>
    <row r="3" spans="1:17" s="58" customFormat="1" ht="37.5" customHeight="1">
      <c r="A3" s="738" t="s">
        <v>0</v>
      </c>
      <c r="B3" s="783" t="s">
        <v>12</v>
      </c>
      <c r="C3" s="784"/>
      <c r="D3" s="784"/>
      <c r="E3" s="785"/>
      <c r="F3" s="762" t="s">
        <v>13</v>
      </c>
      <c r="G3" s="777"/>
      <c r="H3" s="777"/>
      <c r="I3" s="778"/>
      <c r="J3" s="762" t="s">
        <v>14</v>
      </c>
      <c r="K3" s="777"/>
      <c r="L3" s="777"/>
      <c r="M3" s="778"/>
      <c r="N3" s="754" t="s">
        <v>286</v>
      </c>
      <c r="O3" s="755"/>
      <c r="P3" s="755"/>
      <c r="Q3" s="756"/>
    </row>
    <row r="4" spans="1:17" s="58" customFormat="1" ht="35.25" customHeight="1">
      <c r="A4" s="752"/>
      <c r="B4" s="145" t="s">
        <v>241</v>
      </c>
      <c r="C4" s="145" t="s">
        <v>223</v>
      </c>
      <c r="D4" s="145" t="s">
        <v>224</v>
      </c>
      <c r="E4" s="146" t="s">
        <v>225</v>
      </c>
      <c r="F4" s="145" t="s">
        <v>241</v>
      </c>
      <c r="G4" s="145" t="s">
        <v>223</v>
      </c>
      <c r="H4" s="145" t="s">
        <v>224</v>
      </c>
      <c r="I4" s="146" t="s">
        <v>225</v>
      </c>
      <c r="J4" s="145" t="s">
        <v>241</v>
      </c>
      <c r="K4" s="145" t="s">
        <v>223</v>
      </c>
      <c r="L4" s="145" t="s">
        <v>224</v>
      </c>
      <c r="M4" s="146" t="s">
        <v>225</v>
      </c>
      <c r="N4" s="145" t="s">
        <v>241</v>
      </c>
      <c r="O4" s="145" t="s">
        <v>223</v>
      </c>
      <c r="P4" s="145" t="s">
        <v>224</v>
      </c>
      <c r="Q4" s="146" t="s">
        <v>225</v>
      </c>
    </row>
    <row r="5" spans="1:17" s="59" customFormat="1" ht="15" customHeight="1">
      <c r="A5" s="104" t="s">
        <v>137</v>
      </c>
      <c r="B5" s="147">
        <f>IF('Tav_1.2 Trib-Sez_dist x materia'!B5&gt;0,('Tav_1.2 Trib-Sez_dist x materia'!F5-'Tav_1.2 Trib-Sez_dist x materia'!B5)/'Tav_1.2 Trib-Sez_dist x materia'!B5," ")</f>
        <v>-0.043467673201022766</v>
      </c>
      <c r="C5" s="147">
        <f>IF('Tav_1.2 Trib-Sez_dist x materia'!C5&gt;0,'Tav_1.2 Trib-Sez_dist x materia'!E5/'Tav_1.2 Trib-Sez_dist x materia'!C5," ")</f>
        <v>1.224246231155779</v>
      </c>
      <c r="D5" s="147">
        <f>IF('Tav_1.2 Trib-Sez_dist x materia'!E5&gt;0,'Tav_1.2 Trib-Sez_dist x materia'!E5/('Tav_1.2 Trib-Sez_dist x materia'!B5+'Tav_1.2 Trib-Sez_dist x materia'!C5)," ")</f>
        <v>0.19877613462519123</v>
      </c>
      <c r="E5" s="148">
        <f>IF('Tav_1.2 Trib-Sez_dist x materia'!E5&gt;0,('Tav_1.2 Trib-Sez_dist x materia'!B5+'Tav_1.2 Trib-Sez_dist x materia'!F5)/('Tav_1.2 Trib-Sez_dist x materia'!C5+'Tav_1.2 Trib-Sez_dist x materia'!E5)," ")</f>
        <v>4.537983620446202</v>
      </c>
      <c r="F5" s="149"/>
      <c r="G5" s="149"/>
      <c r="H5" s="149"/>
      <c r="I5" s="150"/>
      <c r="J5" s="149"/>
      <c r="K5" s="149"/>
      <c r="L5" s="149"/>
      <c r="M5" s="150"/>
      <c r="N5" s="149" t="str">
        <f>IF('Tav_1.2 Trib-Sez_dist x materia'!O5&gt;0,('Tav_1.2 Trib-Sez_dist x materia'!S5-'Tav_1.2 Trib-Sez_dist x materia'!O5)/'Tav_1.2 Trib-Sez_dist x materia'!O5," ")</f>
        <v> </v>
      </c>
      <c r="O5" s="149" t="str">
        <f>IF('Tav_1.2 Trib-Sez_dist x materia'!P5&gt;0,'Tav_1.2 Trib-Sez_dist x materia'!R5/'Tav_1.2 Trib-Sez_dist x materia'!P5," ")</f>
        <v> </v>
      </c>
      <c r="P5" s="149" t="str">
        <f>IF('Tav_1.2 Trib-Sez_dist x materia'!R5&gt;0,'Tav_1.2 Trib-Sez_dist x materia'!R5/('Tav_1.2 Trib-Sez_dist x materia'!O5+'Tav_1.2 Trib-Sez_dist x materia'!P5)," ")</f>
        <v> </v>
      </c>
      <c r="Q5" s="150" t="str">
        <f>IF('Tav_1.2 Trib-Sez_dist x materia'!R5&gt;0,('Tav_1.2 Trib-Sez_dist x materia'!O5+'Tav_1.2 Trib-Sez_dist x materia'!S5)/('Tav_1.2 Trib-Sez_dist x materia'!P5+'Tav_1.2 Trib-Sez_dist x materia'!R5)," ")</f>
        <v> </v>
      </c>
    </row>
    <row r="6" spans="1:17" s="58" customFormat="1" ht="13.5" customHeight="1">
      <c r="A6" s="106" t="s">
        <v>139</v>
      </c>
      <c r="B6" s="147">
        <f>IF('Tav_1.2 Trib-Sez_dist x materia'!B6&gt;0,('Tav_1.2 Trib-Sez_dist x materia'!F6-'Tav_1.2 Trib-Sez_dist x materia'!B6)/'Tav_1.2 Trib-Sez_dist x materia'!B6," ")</f>
        <v>0.7286245353159851</v>
      </c>
      <c r="C6" s="147">
        <f>IF('Tav_1.2 Trib-Sez_dist x materia'!C6&gt;0,'Tav_1.2 Trib-Sez_dist x materia'!E6/'Tav_1.2 Trib-Sez_dist x materia'!C6," ")</f>
        <v>0.305668016194332</v>
      </c>
      <c r="D6" s="147">
        <f>IF('Tav_1.2 Trib-Sez_dist x materia'!E6&gt;0,'Tav_1.2 Trib-Sez_dist x materia'!E6/('Tav_1.2 Trib-Sez_dist x materia'!B6+'Tav_1.2 Trib-Sez_dist x materia'!C6)," ")</f>
        <v>0.15651723244363824</v>
      </c>
      <c r="E6" s="148">
        <f>IF('Tav_1.2 Trib-Sez_dist x materia'!E6&gt;0,('Tav_1.2 Trib-Sez_dist x materia'!B6+'Tav_1.2 Trib-Sez_dist x materia'!F6)/('Tav_1.2 Trib-Sez_dist x materia'!C6+'Tav_1.2 Trib-Sez_dist x materia'!E6)," ")</f>
        <v>1.9914728682170542</v>
      </c>
      <c r="F6" s="147">
        <f>IF('Tav_1.2 Trib-Sez_dist x materia'!G6&gt;0,('Tav_1.2 Trib-Sez_dist x materia'!J6-'Tav_1.2 Trib-Sez_dist x materia'!G6)/'Tav_1.2 Trib-Sez_dist x materia'!G6," ")</f>
        <v>-0.5635135135135135</v>
      </c>
      <c r="G6" s="147">
        <f>IF('Tav_1.2 Trib-Sez_dist x materia'!H6&gt;0,'Tav_1.2 Trib-Sez_dist x materia'!I6/'Tav_1.2 Trib-Sez_dist x materia'!H6," ")</f>
        <v>1.5312101910828027</v>
      </c>
      <c r="H6" s="147">
        <f>IF('Tav_1.2 Trib-Sez_dist x materia'!I6&gt;0,'Tav_1.2 Trib-Sez_dist x materia'!I6/('Tav_1.2 Trib-Sez_dist x materia'!G6+'Tav_1.2 Trib-Sez_dist x materia'!H6)," ")</f>
        <v>0.7881967213114754</v>
      </c>
      <c r="I6" s="148">
        <f>IF('Tav_1.2 Trib-Sez_dist x materia'!I6&gt;0,('Tav_1.2 Trib-Sez_dist x materia'!G6+'Tav_1.2 Trib-Sez_dist x materia'!J6)/('Tav_1.2 Trib-Sez_dist x materia'!H6+'Tav_1.2 Trib-Sez_dist x materia'!I6)," ")</f>
        <v>0.5349773527931555</v>
      </c>
      <c r="J6" s="147">
        <f>IF('Tav_1.2 Trib-Sez_dist x materia'!K6&gt;0,('Tav_1.2 Trib-Sez_dist x materia'!N6-'Tav_1.2 Trib-Sez_dist x materia'!K6)/'Tav_1.2 Trib-Sez_dist x materia'!K6," ")</f>
        <v>-0.05275590551181102</v>
      </c>
      <c r="K6" s="147">
        <f>IF('Tav_1.2 Trib-Sez_dist x materia'!L6&gt;0,'Tav_1.2 Trib-Sez_dist x materia'!M6/'Tav_1.2 Trib-Sez_dist x materia'!L6," ")</f>
        <v>1.4294871794871795</v>
      </c>
      <c r="L6" s="147">
        <f>IF('Tav_1.2 Trib-Sez_dist x materia'!M6&gt;0,'Tav_1.2 Trib-Sez_dist x materia'!M6/('Tav_1.2 Trib-Sez_dist x materia'!K6+'Tav_1.2 Trib-Sez_dist x materia'!L6)," ")</f>
        <v>0.15638148667601684</v>
      </c>
      <c r="M6" s="148">
        <f>IF('Tav_1.2 Trib-Sez_dist x materia'!M6&gt;0,('Tav_1.2 Trib-Sez_dist x materia'!K6+'Tav_1.2 Trib-Sez_dist x materia'!N6)/('Tav_1.2 Trib-Sez_dist x materia'!L6+'Tav_1.2 Trib-Sez_dist x materia'!M6)," ")</f>
        <v>6.525065963060686</v>
      </c>
      <c r="N6" s="147">
        <f>IF('Tav_1.2 Trib-Sez_dist x materia'!O6&gt;0,('Tav_1.2 Trib-Sez_dist x materia'!S6-'Tav_1.2 Trib-Sez_dist x materia'!O6)/'Tav_1.2 Trib-Sez_dist x materia'!O6," ")</f>
        <v>-0.6255380200860832</v>
      </c>
      <c r="O6" s="147">
        <f>IF('Tav_1.2 Trib-Sez_dist x materia'!P6&gt;0,'Tav_1.2 Trib-Sez_dist x materia'!R6/'Tav_1.2 Trib-Sez_dist x materia'!P6," ")</f>
        <v>1.3433070866141732</v>
      </c>
      <c r="P6" s="147">
        <f>IF('Tav_1.2 Trib-Sez_dist x materia'!R6&gt;0,'Tav_1.2 Trib-Sez_dist x materia'!R6/('Tav_1.2 Trib-Sez_dist x materia'!O6+'Tav_1.2 Trib-Sez_dist x materia'!P6)," ")</f>
        <v>0.8673106253177427</v>
      </c>
      <c r="Q6" s="148">
        <f>IF('Tav_1.2 Trib-Sez_dist x materia'!R6&gt;0,('Tav_1.2 Trib-Sez_dist x materia'!O6+'Tav_1.2 Trib-Sez_dist x materia'!S6)/('Tav_1.2 Trib-Sez_dist x materia'!P6+'Tav_1.2 Trib-Sez_dist x materia'!R6)," ")</f>
        <v>0.3219086021505376</v>
      </c>
    </row>
    <row r="7" spans="1:17" s="58" customFormat="1" ht="13.5" customHeight="1">
      <c r="A7" s="104" t="s">
        <v>140</v>
      </c>
      <c r="B7" s="147">
        <f>IF('Tav_1.2 Trib-Sez_dist x materia'!B7&gt;0,('Tav_1.2 Trib-Sez_dist x materia'!F7-'Tav_1.2 Trib-Sez_dist x materia'!B7)/'Tav_1.2 Trib-Sez_dist x materia'!B7," ")</f>
        <v>-0.011808576755748913</v>
      </c>
      <c r="C7" s="147">
        <f>IF('Tav_1.2 Trib-Sez_dist x materia'!C7&gt;0,'Tav_1.2 Trib-Sez_dist x materia'!E7/'Tav_1.2 Trib-Sez_dist x materia'!C7," ")</f>
        <v>1.5135135135135136</v>
      </c>
      <c r="D7" s="147">
        <f>IF('Tav_1.2 Trib-Sez_dist x materia'!E7&gt;0,'Tav_1.2 Trib-Sez_dist x materia'!E7/('Tav_1.2 Trib-Sez_dist x materia'!B7+'Tav_1.2 Trib-Sez_dist x materia'!C7)," ")</f>
        <v>0.03402187120291616</v>
      </c>
      <c r="E7" s="148">
        <f>IF('Tav_1.2 Trib-Sez_dist x materia'!E7&gt;0,('Tav_1.2 Trib-Sez_dist x materia'!B7+'Tav_1.2 Trib-Sez_dist x materia'!F7)/('Tav_1.2 Trib-Sez_dist x materia'!C7+'Tav_1.2 Trib-Sez_dist x materia'!E7)," ")</f>
        <v>34.39784946236559</v>
      </c>
      <c r="F7" s="147">
        <f>IF('Tav_1.2 Trib-Sez_dist x materia'!G7&gt;0,('Tav_1.2 Trib-Sez_dist x materia'!J7-'Tav_1.2 Trib-Sez_dist x materia'!G7)/'Tav_1.2 Trib-Sez_dist x materia'!G7," ")</f>
        <v>0.10526315789473684</v>
      </c>
      <c r="G7" s="147">
        <f>IF('Tav_1.2 Trib-Sez_dist x materia'!H7&gt;0,'Tav_1.2 Trib-Sez_dist x materia'!I7/'Tav_1.2 Trib-Sez_dist x materia'!H7," ")</f>
        <v>0.6</v>
      </c>
      <c r="H7" s="147">
        <f>IF('Tav_1.2 Trib-Sez_dist x materia'!I7&gt;0,'Tav_1.2 Trib-Sez_dist x materia'!I7/('Tav_1.2 Trib-Sez_dist x materia'!G7+'Tav_1.2 Trib-Sez_dist x materia'!H7)," ")</f>
        <v>0.125</v>
      </c>
      <c r="I7" s="148">
        <f>IF('Tav_1.2 Trib-Sez_dist x materia'!I7&gt;0,('Tav_1.2 Trib-Sez_dist x materia'!G7+'Tav_1.2 Trib-Sez_dist x materia'!J7)/('Tav_1.2 Trib-Sez_dist x materia'!H7+'Tav_1.2 Trib-Sez_dist x materia'!I7)," ")</f>
        <v>5</v>
      </c>
      <c r="J7" s="147" t="str">
        <f>IF('Tav_1.2 Trib-Sez_dist x materia'!K7&gt;0,('Tav_1.2 Trib-Sez_dist x materia'!N7-'Tav_1.2 Trib-Sez_dist x materia'!K7)/'Tav_1.2 Trib-Sez_dist x materia'!K7," ")</f>
        <v> </v>
      </c>
      <c r="K7" s="147" t="str">
        <f>IF('Tav_1.2 Trib-Sez_dist x materia'!L7&gt;0,'Tav_1.2 Trib-Sez_dist x materia'!M7/'Tav_1.2 Trib-Sez_dist x materia'!L7," ")</f>
        <v> </v>
      </c>
      <c r="L7" s="147" t="str">
        <f>IF('Tav_1.2 Trib-Sez_dist x materia'!M7&gt;0,'Tav_1.2 Trib-Sez_dist x materia'!M7/('Tav_1.2 Trib-Sez_dist x materia'!K7+'Tav_1.2 Trib-Sez_dist x materia'!L7)," ")</f>
        <v> </v>
      </c>
      <c r="M7" s="148" t="str">
        <f>IF('Tav_1.2 Trib-Sez_dist x materia'!M7&gt;0,('Tav_1.2 Trib-Sez_dist x materia'!K7+'Tav_1.2 Trib-Sez_dist x materia'!N7)/('Tav_1.2 Trib-Sez_dist x materia'!L7+'Tav_1.2 Trib-Sez_dist x materia'!M7)," ")</f>
        <v> </v>
      </c>
      <c r="N7" s="147">
        <f>IF('Tav_1.2 Trib-Sez_dist x materia'!O7&gt;0,('Tav_1.2 Trib-Sez_dist x materia'!S7-'Tav_1.2 Trib-Sez_dist x materia'!O7)/'Tav_1.2 Trib-Sez_dist x materia'!O7," ")</f>
        <v>0.12745098039215685</v>
      </c>
      <c r="O7" s="147">
        <f>IF('Tav_1.2 Trib-Sez_dist x materia'!P7&gt;0,'Tav_1.2 Trib-Sez_dist x materia'!R7/'Tav_1.2 Trib-Sez_dist x materia'!P7," ")</f>
        <v>0.7291666666666666</v>
      </c>
      <c r="P7" s="147">
        <f>IF('Tav_1.2 Trib-Sez_dist x materia'!R7&gt;0,'Tav_1.2 Trib-Sez_dist x materia'!R7/('Tav_1.2 Trib-Sez_dist x materia'!O7+'Tav_1.2 Trib-Sez_dist x materia'!P7)," ")</f>
        <v>0.23333333333333334</v>
      </c>
      <c r="Q7" s="148">
        <f>IF('Tav_1.2 Trib-Sez_dist x materia'!R7&gt;0,('Tav_1.2 Trib-Sez_dist x materia'!O7+'Tav_1.2 Trib-Sez_dist x materia'!S7)/('Tav_1.2 Trib-Sez_dist x materia'!P7+'Tav_1.2 Trib-Sez_dist x materia'!R7)," ")</f>
        <v>2.6144578313253013</v>
      </c>
    </row>
    <row r="8" spans="1:17" s="59" customFormat="1" ht="13.5" customHeight="1">
      <c r="A8" s="248" t="s">
        <v>160</v>
      </c>
      <c r="B8" s="147">
        <f>IF('Tav_1.2 Trib-Sez_dist x materia'!B8&gt;0,('Tav_1.2 Trib-Sez_dist x materia'!F8-'Tav_1.2 Trib-Sez_dist x materia'!B8)/'Tav_1.2 Trib-Sez_dist x materia'!B8," ")</f>
        <v>0.38745704467353953</v>
      </c>
      <c r="C8" s="147">
        <f>IF('Tav_1.2 Trib-Sez_dist x materia'!C8&gt;0,'Tav_1.2 Trib-Sez_dist x materia'!E8/'Tav_1.2 Trib-Sez_dist x materia'!C8," ")</f>
        <v>0.32786885245901637</v>
      </c>
      <c r="D8" s="147">
        <f>IF('Tav_1.2 Trib-Sez_dist x materia'!E8&gt;0,'Tav_1.2 Trib-Sez_dist x materia'!E8/('Tav_1.2 Trib-Sez_dist x materia'!B8+'Tav_1.2 Trib-Sez_dist x materia'!C8)," ")</f>
        <v>0.11989100817438691</v>
      </c>
      <c r="E8" s="148">
        <f>IF('Tav_1.2 Trib-Sez_dist x materia'!E8&gt;0,('Tav_1.2 Trib-Sez_dist x materia'!B8+'Tav_1.2 Trib-Sez_dist x materia'!F8)/('Tav_1.2 Trib-Sez_dist x materia'!C8+'Tav_1.2 Trib-Sez_dist x materia'!E8)," ")</f>
        <v>3.1189674523007858</v>
      </c>
      <c r="F8" s="147">
        <f>IF('Tav_1.2 Trib-Sez_dist x materia'!G8&gt;0,('Tav_1.2 Trib-Sez_dist x materia'!J8-'Tav_1.2 Trib-Sez_dist x materia'!G8)/'Tav_1.2 Trib-Sez_dist x materia'!G8," ")</f>
        <v>-0.4495515695067265</v>
      </c>
      <c r="G8" s="147">
        <f>IF('Tav_1.2 Trib-Sez_dist x materia'!H8&gt;0,'Tav_1.2 Trib-Sez_dist x materia'!I8/'Tav_1.2 Trib-Sez_dist x materia'!H8," ")</f>
        <v>1.486060606060606</v>
      </c>
      <c r="H8" s="147">
        <f>IF('Tav_1.2 Trib-Sez_dist x materia'!I8&gt;0,'Tav_1.2 Trib-Sez_dist x materia'!I8/('Tav_1.2 Trib-Sez_dist x materia'!G8+'Tav_1.2 Trib-Sez_dist x materia'!H8)," ")</f>
        <v>0.7140361094933023</v>
      </c>
      <c r="I8" s="148">
        <f>IF('Tav_1.2 Trib-Sez_dist x materia'!I8&gt;0,('Tav_1.2 Trib-Sez_dist x materia'!G8+'Tav_1.2 Trib-Sez_dist x materia'!J8)/('Tav_1.2 Trib-Sez_dist x materia'!H8+'Tav_1.2 Trib-Sez_dist x materia'!I8)," ")</f>
        <v>0.674305216967333</v>
      </c>
      <c r="J8" s="147">
        <f>IF('Tav_1.2 Trib-Sez_dist x materia'!K8&gt;0,('Tav_1.2 Trib-Sez_dist x materia'!N8-'Tav_1.2 Trib-Sez_dist x materia'!K8)/'Tav_1.2 Trib-Sez_dist x materia'!K8," ")</f>
        <v>-0.05275590551181102</v>
      </c>
      <c r="K8" s="147">
        <f>IF('Tav_1.2 Trib-Sez_dist x materia'!L8&gt;0,'Tav_1.2 Trib-Sez_dist x materia'!M8/'Tav_1.2 Trib-Sez_dist x materia'!L8," ")</f>
        <v>1.4294871794871795</v>
      </c>
      <c r="L8" s="147">
        <f>IF('Tav_1.2 Trib-Sez_dist x materia'!M8&gt;0,'Tav_1.2 Trib-Sez_dist x materia'!M8/('Tav_1.2 Trib-Sez_dist x materia'!K8+'Tav_1.2 Trib-Sez_dist x materia'!L8)," ")</f>
        <v>0.15638148667601684</v>
      </c>
      <c r="M8" s="148">
        <f>IF('Tav_1.2 Trib-Sez_dist x materia'!M8&gt;0,('Tav_1.2 Trib-Sez_dist x materia'!K8+'Tav_1.2 Trib-Sez_dist x materia'!N8)/('Tav_1.2 Trib-Sez_dist x materia'!L8+'Tav_1.2 Trib-Sez_dist x materia'!M8)," ")</f>
        <v>6.525065963060686</v>
      </c>
      <c r="N8" s="147">
        <f>IF('Tav_1.2 Trib-Sez_dist x materia'!O8&gt;0,('Tav_1.2 Trib-Sez_dist x materia'!S8-'Tav_1.2 Trib-Sez_dist x materia'!O8)/'Tav_1.2 Trib-Sez_dist x materia'!O8," ")</f>
        <v>-0.5294117647058824</v>
      </c>
      <c r="O8" s="147">
        <f>IF('Tav_1.2 Trib-Sez_dist x materia'!P8&gt;0,'Tav_1.2 Trib-Sez_dist x materia'!R8/'Tav_1.2 Trib-Sez_dist x materia'!P8," ")</f>
        <v>1.3209408194233687</v>
      </c>
      <c r="P8" s="147">
        <f>IF('Tav_1.2 Trib-Sez_dist x materia'!R8&gt;0,'Tav_1.2 Trib-Sez_dist x materia'!R8/('Tav_1.2 Trib-Sez_dist x materia'!O8+'Tav_1.2 Trib-Sez_dist x materia'!P8)," ")</f>
        <v>0.8223901747756259</v>
      </c>
      <c r="Q8" s="148">
        <f>IF('Tav_1.2 Trib-Sez_dist x materia'!R8&gt;0,('Tav_1.2 Trib-Sez_dist x materia'!O8+'Tav_1.2 Trib-Sez_dist x materia'!S8)/('Tav_1.2 Trib-Sez_dist x materia'!P8+'Tav_1.2 Trib-Sez_dist x materia'!R8)," ")</f>
        <v>0.38411245505067015</v>
      </c>
    </row>
    <row r="9" spans="1:17" s="58" customFormat="1" ht="13.5" customHeight="1">
      <c r="A9" s="106" t="s">
        <v>142</v>
      </c>
      <c r="B9" s="147">
        <f>IF('Tav_1.2 Trib-Sez_dist x materia'!B9&gt;0,('Tav_1.2 Trib-Sez_dist x materia'!F9-'Tav_1.2 Trib-Sez_dist x materia'!B9)/'Tav_1.2 Trib-Sez_dist x materia'!B9," ")</f>
        <v>0.38576644948807903</v>
      </c>
      <c r="C9" s="147">
        <f>IF('Tav_1.2 Trib-Sez_dist x materia'!C9&gt;0,'Tav_1.2 Trib-Sez_dist x materia'!E9/'Tav_1.2 Trib-Sez_dist x materia'!C9," ")</f>
        <v>0.5102263430597218</v>
      </c>
      <c r="D9" s="147">
        <f>IF('Tav_1.2 Trib-Sez_dist x materia'!E9&gt;0,'Tav_1.2 Trib-Sez_dist x materia'!E9/('Tav_1.2 Trib-Sez_dist x materia'!B9+'Tav_1.2 Trib-Sez_dist x materia'!C9)," ")</f>
        <v>0.22480775392502403</v>
      </c>
      <c r="E9" s="148">
        <f>IF('Tav_1.2 Trib-Sez_dist x materia'!E9&gt;0,('Tav_1.2 Trib-Sez_dist x materia'!B9+'Tav_1.2 Trib-Sez_dist x materia'!F9)/('Tav_1.2 Trib-Sez_dist x materia'!C9+'Tav_1.2 Trib-Sez_dist x materia'!E9)," ")</f>
        <v>2.0056578788973156</v>
      </c>
      <c r="F9" s="147">
        <f>IF('Tav_1.2 Trib-Sez_dist x materia'!G9&gt;0,('Tav_1.2 Trib-Sez_dist x materia'!J9-'Tav_1.2 Trib-Sez_dist x materia'!G9)/'Tav_1.2 Trib-Sez_dist x materia'!G9," ")</f>
        <v>0.24703207880777975</v>
      </c>
      <c r="G9" s="147">
        <f>IF('Tav_1.2 Trib-Sez_dist x materia'!H9&gt;0,'Tav_1.2 Trib-Sez_dist x materia'!I9/'Tav_1.2 Trib-Sez_dist x materia'!H9," ")</f>
        <v>0.7236507487990957</v>
      </c>
      <c r="H9" s="147">
        <f>IF('Tav_1.2 Trib-Sez_dist x materia'!I9&gt;0,'Tav_1.2 Trib-Sez_dist x materia'!I9/('Tav_1.2 Trib-Sez_dist x materia'!G9+'Tav_1.2 Trib-Sez_dist x materia'!H9)," ")</f>
        <v>0.3415577487329955</v>
      </c>
      <c r="I9" s="148">
        <f>IF('Tav_1.2 Trib-Sez_dist x materia'!I9&gt;0,('Tav_1.2 Trib-Sez_dist x materia'!G9+'Tav_1.2 Trib-Sez_dist x materia'!J9)/('Tav_1.2 Trib-Sez_dist x materia'!H9+'Tav_1.2 Trib-Sez_dist x materia'!I9)," ")</f>
        <v>1.458360655737705</v>
      </c>
      <c r="J9" s="147">
        <f>IF('Tav_1.2 Trib-Sez_dist x materia'!K9&gt;0,('Tav_1.2 Trib-Sez_dist x materia'!N9-'Tav_1.2 Trib-Sez_dist x materia'!K9)/'Tav_1.2 Trib-Sez_dist x materia'!K9," ")</f>
        <v>0.13864152261218787</v>
      </c>
      <c r="K9" s="147">
        <f>IF('Tav_1.2 Trib-Sez_dist x materia'!L9&gt;0,'Tav_1.2 Trib-Sez_dist x materia'!M9/'Tav_1.2 Trib-Sez_dist x materia'!L9," ")</f>
        <v>0.5149664019547954</v>
      </c>
      <c r="L9" s="147">
        <f>IF('Tav_1.2 Trib-Sez_dist x materia'!M9&gt;0,'Tav_1.2 Trib-Sez_dist x materia'!M9/('Tav_1.2 Trib-Sez_dist x materia'!K9+'Tav_1.2 Trib-Sez_dist x materia'!L9)," ")</f>
        <v>0.11447582835415535</v>
      </c>
      <c r="M9" s="148">
        <f>IF('Tav_1.2 Trib-Sez_dist x materia'!M9&gt;0,('Tav_1.2 Trib-Sez_dist x materia'!K9+'Tav_1.2 Trib-Sez_dist x materia'!N9)/('Tav_1.2 Trib-Sez_dist x materia'!L9+'Tav_1.2 Trib-Sez_dist x materia'!M9)," ")</f>
        <v>4.938709677419355</v>
      </c>
      <c r="N9" s="147">
        <f>IF('Tav_1.2 Trib-Sez_dist x materia'!O9&gt;0,('Tav_1.2 Trib-Sez_dist x materia'!S9-'Tav_1.2 Trib-Sez_dist x materia'!O9)/'Tav_1.2 Trib-Sez_dist x materia'!O9," ")</f>
        <v>0.25057330683381746</v>
      </c>
      <c r="O9" s="147">
        <f>IF('Tav_1.2 Trib-Sez_dist x materia'!P9&gt;0,'Tav_1.2 Trib-Sez_dist x materia'!R9/'Tav_1.2 Trib-Sez_dist x materia'!P9," ")</f>
        <v>0.8981481481481481</v>
      </c>
      <c r="P9" s="147">
        <f>IF('Tav_1.2 Trib-Sez_dist x materia'!R9&gt;0,'Tav_1.2 Trib-Sez_dist x materia'!R9/('Tav_1.2 Trib-Sez_dist x materia'!O9+'Tav_1.2 Trib-Sez_dist x materia'!P9)," ")</f>
        <v>0.6385808332965139</v>
      </c>
      <c r="Q9" s="148">
        <f>IF('Tav_1.2 Trib-Sez_dist x materia'!R9&gt;0,('Tav_1.2 Trib-Sez_dist x materia'!O9+'Tav_1.2 Trib-Sez_dist x materia'!S9)/('Tav_1.2 Trib-Sez_dist x materia'!P9+'Tav_1.2 Trib-Sez_dist x materia'!R9)," ")</f>
        <v>0.48194467179571127</v>
      </c>
    </row>
    <row r="10" spans="1:17" s="58" customFormat="1" ht="13.5" customHeight="1">
      <c r="A10" s="104" t="s">
        <v>143</v>
      </c>
      <c r="B10" s="683" t="s">
        <v>458</v>
      </c>
      <c r="C10" s="683" t="s">
        <v>458</v>
      </c>
      <c r="D10" s="683" t="s">
        <v>458</v>
      </c>
      <c r="E10" s="684" t="s">
        <v>458</v>
      </c>
      <c r="F10" s="683" t="s">
        <v>458</v>
      </c>
      <c r="G10" s="683" t="s">
        <v>458</v>
      </c>
      <c r="H10" s="683" t="s">
        <v>458</v>
      </c>
      <c r="I10" s="684" t="s">
        <v>458</v>
      </c>
      <c r="J10" s="683" t="s">
        <v>458</v>
      </c>
      <c r="K10" s="683" t="s">
        <v>458</v>
      </c>
      <c r="L10" s="683" t="s">
        <v>458</v>
      </c>
      <c r="M10" s="684" t="s">
        <v>458</v>
      </c>
      <c r="N10" s="683" t="s">
        <v>458</v>
      </c>
      <c r="O10" s="683" t="s">
        <v>458</v>
      </c>
      <c r="P10" s="683" t="s">
        <v>458</v>
      </c>
      <c r="Q10" s="684" t="s">
        <v>458</v>
      </c>
    </row>
    <row r="11" spans="1:17" s="58" customFormat="1" ht="13.5" customHeight="1">
      <c r="A11" s="104" t="s">
        <v>144</v>
      </c>
      <c r="B11" s="147">
        <f>IF('Tav_1.2 Trib-Sez_dist x materia'!B11&gt;0,('Tav_1.2 Trib-Sez_dist x materia'!F11-'Tav_1.2 Trib-Sez_dist x materia'!B11)/'Tav_1.2 Trib-Sez_dist x materia'!B11," ")</f>
        <v>-1</v>
      </c>
      <c r="C11" s="147">
        <f>IF('Tav_1.2 Trib-Sez_dist x materia'!C11&gt;0,'Tav_1.2 Trib-Sez_dist x materia'!E11/'Tav_1.2 Trib-Sez_dist x materia'!C11," ")</f>
        <v>589.5</v>
      </c>
      <c r="D11" s="147">
        <f>IF('Tav_1.2 Trib-Sez_dist x materia'!E11&gt;0,'Tav_1.2 Trib-Sez_dist x materia'!E11/('Tav_1.2 Trib-Sez_dist x materia'!B11+'Tav_1.2 Trib-Sez_dist x materia'!C11)," ")</f>
        <v>1</v>
      </c>
      <c r="E11" s="148">
        <f>IF('Tav_1.2 Trib-Sez_dist x materia'!E11&gt;0,('Tav_1.2 Trib-Sez_dist x materia'!B11+'Tav_1.2 Trib-Sez_dist x materia'!F11)/('Tav_1.2 Trib-Sez_dist x materia'!C11+'Tav_1.2 Trib-Sez_dist x materia'!E11)," ")</f>
        <v>0.9966130397967824</v>
      </c>
      <c r="F11" s="147">
        <f>IF('Tav_1.2 Trib-Sez_dist x materia'!G11&gt;0,('Tav_1.2 Trib-Sez_dist x materia'!J11-'Tav_1.2 Trib-Sez_dist x materia'!G11)/'Tav_1.2 Trib-Sez_dist x materia'!G11," ")</f>
        <v>-1</v>
      </c>
      <c r="G11" s="147">
        <f>IF('Tav_1.2 Trib-Sez_dist x materia'!H11&gt;0,'Tav_1.2 Trib-Sez_dist x materia'!I11/'Tav_1.2 Trib-Sez_dist x materia'!H11," ")</f>
        <v>7.703703703703703</v>
      </c>
      <c r="H11" s="147">
        <f>IF('Tav_1.2 Trib-Sez_dist x materia'!I11&gt;0,'Tav_1.2 Trib-Sez_dist x materia'!I11/('Tav_1.2 Trib-Sez_dist x materia'!G11+'Tav_1.2 Trib-Sez_dist x materia'!H11)," ")</f>
        <v>1</v>
      </c>
      <c r="I11" s="148">
        <f>IF('Tav_1.2 Trib-Sez_dist x materia'!I11&gt;0,('Tav_1.2 Trib-Sez_dist x materia'!G11+'Tav_1.2 Trib-Sez_dist x materia'!J11)/('Tav_1.2 Trib-Sez_dist x materia'!H11+'Tav_1.2 Trib-Sez_dist x materia'!I11)," ")</f>
        <v>0.7702127659574468</v>
      </c>
      <c r="J11" s="147">
        <f>IF('Tav_1.2 Trib-Sez_dist x materia'!K11&gt;0,('Tav_1.2 Trib-Sez_dist x materia'!N11-'Tav_1.2 Trib-Sez_dist x materia'!K11)/'Tav_1.2 Trib-Sez_dist x materia'!K11," ")</f>
        <v>-1</v>
      </c>
      <c r="K11" s="147" t="str">
        <f>IF('Tav_1.2 Trib-Sez_dist x materia'!L11&gt;0,'Tav_1.2 Trib-Sez_dist x materia'!M11/'Tav_1.2 Trib-Sez_dist x materia'!L11," ")</f>
        <v> </v>
      </c>
      <c r="L11" s="147">
        <f>IF('Tav_1.2 Trib-Sez_dist x materia'!M11&gt;0,'Tav_1.2 Trib-Sez_dist x materia'!M11/('Tav_1.2 Trib-Sez_dist x materia'!K11+'Tav_1.2 Trib-Sez_dist x materia'!L11)," ")</f>
        <v>1</v>
      </c>
      <c r="M11" s="148">
        <f>IF('Tav_1.2 Trib-Sez_dist x materia'!M11&gt;0,('Tav_1.2 Trib-Sez_dist x materia'!K11+'Tav_1.2 Trib-Sez_dist x materia'!N11)/('Tav_1.2 Trib-Sez_dist x materia'!L11+'Tav_1.2 Trib-Sez_dist x materia'!M11)," ")</f>
        <v>1</v>
      </c>
      <c r="N11" s="147">
        <f>IF('Tav_1.2 Trib-Sez_dist x materia'!O11&gt;0,('Tav_1.2 Trib-Sez_dist x materia'!S11-'Tav_1.2 Trib-Sez_dist x materia'!O11)/'Tav_1.2 Trib-Sez_dist x materia'!O11," ")</f>
        <v>-1</v>
      </c>
      <c r="O11" s="147">
        <f>IF('Tav_1.2 Trib-Sez_dist x materia'!P11&gt;0,'Tav_1.2 Trib-Sez_dist x materia'!R11/'Tav_1.2 Trib-Sez_dist x materia'!P11," ")</f>
        <v>1.6666666666666667</v>
      </c>
      <c r="P11" s="147">
        <f>IF('Tav_1.2 Trib-Sez_dist x materia'!R11&gt;0,'Tav_1.2 Trib-Sez_dist x materia'!R11/('Tav_1.2 Trib-Sez_dist x materia'!O11+'Tav_1.2 Trib-Sez_dist x materia'!P11)," ")</f>
        <v>1</v>
      </c>
      <c r="Q11" s="148">
        <f>IF('Tav_1.2 Trib-Sez_dist x materia'!R11&gt;0,('Tav_1.2 Trib-Sez_dist x materia'!O11+'Tav_1.2 Trib-Sez_dist x materia'!S11)/('Tav_1.2 Trib-Sez_dist x materia'!P11+'Tav_1.2 Trib-Sez_dist x materia'!R11)," ")</f>
        <v>0.25</v>
      </c>
    </row>
    <row r="12" spans="1:17" s="58" customFormat="1" ht="13.5" customHeight="1">
      <c r="A12" s="104" t="s">
        <v>145</v>
      </c>
      <c r="B12" s="685" t="s">
        <v>458</v>
      </c>
      <c r="C12" s="685" t="s">
        <v>458</v>
      </c>
      <c r="D12" s="685" t="s">
        <v>458</v>
      </c>
      <c r="E12" s="686" t="s">
        <v>458</v>
      </c>
      <c r="F12" s="685" t="s">
        <v>458</v>
      </c>
      <c r="G12" s="685" t="s">
        <v>458</v>
      </c>
      <c r="H12" s="685" t="s">
        <v>458</v>
      </c>
      <c r="I12" s="686" t="s">
        <v>458</v>
      </c>
      <c r="J12" s="685" t="s">
        <v>458</v>
      </c>
      <c r="K12" s="685" t="s">
        <v>458</v>
      </c>
      <c r="L12" s="685" t="s">
        <v>458</v>
      </c>
      <c r="M12" s="686" t="s">
        <v>458</v>
      </c>
      <c r="N12" s="685" t="s">
        <v>458</v>
      </c>
      <c r="O12" s="685" t="s">
        <v>458</v>
      </c>
      <c r="P12" s="685" t="s">
        <v>458</v>
      </c>
      <c r="Q12" s="686" t="s">
        <v>458</v>
      </c>
    </row>
    <row r="13" spans="1:17" s="58" customFormat="1" ht="13.5" customHeight="1">
      <c r="A13" s="104" t="s">
        <v>146</v>
      </c>
      <c r="B13" s="685" t="s">
        <v>458</v>
      </c>
      <c r="C13" s="685" t="s">
        <v>458</v>
      </c>
      <c r="D13" s="685" t="s">
        <v>458</v>
      </c>
      <c r="E13" s="686" t="s">
        <v>458</v>
      </c>
      <c r="F13" s="685" t="s">
        <v>458</v>
      </c>
      <c r="G13" s="685" t="s">
        <v>458</v>
      </c>
      <c r="H13" s="685" t="s">
        <v>458</v>
      </c>
      <c r="I13" s="686" t="s">
        <v>458</v>
      </c>
      <c r="J13" s="685" t="s">
        <v>458</v>
      </c>
      <c r="K13" s="685" t="s">
        <v>458</v>
      </c>
      <c r="L13" s="685" t="s">
        <v>458</v>
      </c>
      <c r="M13" s="686" t="s">
        <v>458</v>
      </c>
      <c r="N13" s="685" t="s">
        <v>458</v>
      </c>
      <c r="O13" s="685" t="s">
        <v>458</v>
      </c>
      <c r="P13" s="685" t="s">
        <v>458</v>
      </c>
      <c r="Q13" s="686" t="s">
        <v>458</v>
      </c>
    </row>
    <row r="14" spans="1:17" s="58" customFormat="1" ht="13.5" customHeight="1">
      <c r="A14" s="104" t="s">
        <v>147</v>
      </c>
      <c r="B14" s="685" t="s">
        <v>458</v>
      </c>
      <c r="C14" s="685" t="s">
        <v>458</v>
      </c>
      <c r="D14" s="685" t="s">
        <v>458</v>
      </c>
      <c r="E14" s="686" t="s">
        <v>458</v>
      </c>
      <c r="F14" s="685" t="s">
        <v>458</v>
      </c>
      <c r="G14" s="685" t="s">
        <v>458</v>
      </c>
      <c r="H14" s="685" t="s">
        <v>458</v>
      </c>
      <c r="I14" s="686" t="s">
        <v>458</v>
      </c>
      <c r="J14" s="685" t="s">
        <v>458</v>
      </c>
      <c r="K14" s="685" t="s">
        <v>458</v>
      </c>
      <c r="L14" s="685" t="s">
        <v>458</v>
      </c>
      <c r="M14" s="686" t="s">
        <v>458</v>
      </c>
      <c r="N14" s="685" t="s">
        <v>458</v>
      </c>
      <c r="O14" s="685" t="s">
        <v>458</v>
      </c>
      <c r="P14" s="685" t="s">
        <v>458</v>
      </c>
      <c r="Q14" s="686" t="s">
        <v>458</v>
      </c>
    </row>
    <row r="15" spans="1:17" s="58" customFormat="1" ht="13.5" customHeight="1">
      <c r="A15" s="104" t="s">
        <v>148</v>
      </c>
      <c r="B15" s="685" t="s">
        <v>458</v>
      </c>
      <c r="C15" s="685" t="s">
        <v>458</v>
      </c>
      <c r="D15" s="685" t="s">
        <v>458</v>
      </c>
      <c r="E15" s="686" t="s">
        <v>458</v>
      </c>
      <c r="F15" s="685" t="s">
        <v>458</v>
      </c>
      <c r="G15" s="685" t="s">
        <v>458</v>
      </c>
      <c r="H15" s="685" t="s">
        <v>458</v>
      </c>
      <c r="I15" s="686" t="s">
        <v>458</v>
      </c>
      <c r="J15" s="685" t="s">
        <v>458</v>
      </c>
      <c r="K15" s="685" t="s">
        <v>458</v>
      </c>
      <c r="L15" s="685" t="s">
        <v>458</v>
      </c>
      <c r="M15" s="686" t="s">
        <v>458</v>
      </c>
      <c r="N15" s="685" t="s">
        <v>458</v>
      </c>
      <c r="O15" s="685" t="s">
        <v>458</v>
      </c>
      <c r="P15" s="685" t="s">
        <v>458</v>
      </c>
      <c r="Q15" s="686" t="s">
        <v>458</v>
      </c>
    </row>
    <row r="16" spans="1:17" s="58" customFormat="1" ht="13.5" customHeight="1">
      <c r="A16" s="104" t="s">
        <v>149</v>
      </c>
      <c r="B16" s="147">
        <f>IF('Tav_1.2 Trib-Sez_dist x materia'!B16&gt;0,('Tav_1.2 Trib-Sez_dist x materia'!F16-'Tav_1.2 Trib-Sez_dist x materia'!B16)/'Tav_1.2 Trib-Sez_dist x materia'!B16," ")</f>
        <v>-0.06136087484811665</v>
      </c>
      <c r="C16" s="147">
        <v>0</v>
      </c>
      <c r="D16" s="147">
        <f>IF('Tav_1.2 Trib-Sez_dist x materia'!E16&gt;0,'Tav_1.2 Trib-Sez_dist x materia'!E16/('Tav_1.2 Trib-Sez_dist x materia'!B16+'Tav_1.2 Trib-Sez_dist x materia'!C16)," ")</f>
        <v>0.06136087484811665</v>
      </c>
      <c r="E16" s="148">
        <f>IF('Tav_1.2 Trib-Sez_dist x materia'!E16&gt;0,('Tav_1.2 Trib-Sez_dist x materia'!B16+'Tav_1.2 Trib-Sez_dist x materia'!F16)/('Tav_1.2 Trib-Sez_dist x materia'!C16+'Tav_1.2 Trib-Sez_dist x materia'!E16)," ")</f>
        <v>31.594059405940595</v>
      </c>
      <c r="F16" s="147">
        <f>IF('Tav_1.2 Trib-Sez_dist x materia'!G16&gt;0,('Tav_1.2 Trib-Sez_dist x materia'!J16-'Tav_1.2 Trib-Sez_dist x materia'!G16)/'Tav_1.2 Trib-Sez_dist x materia'!G16," ")</f>
        <v>0.025</v>
      </c>
      <c r="G16" s="147">
        <f>IF('Tav_1.2 Trib-Sez_dist x materia'!H16&gt;0,'Tav_1.2 Trib-Sez_dist x materia'!I16/'Tav_1.2 Trib-Sez_dist x materia'!H16," ")</f>
        <v>0.5555555555555556</v>
      </c>
      <c r="H16" s="147">
        <f>IF('Tav_1.2 Trib-Sez_dist x materia'!I16&gt;0,'Tav_1.2 Trib-Sez_dist x materia'!I16/('Tav_1.2 Trib-Sez_dist x materia'!G16+'Tav_1.2 Trib-Sez_dist x materia'!H16)," ")</f>
        <v>0.029585798816568046</v>
      </c>
      <c r="I16" s="148">
        <f>IF('Tav_1.2 Trib-Sez_dist x materia'!I16&gt;0,('Tav_1.2 Trib-Sez_dist x materia'!G16+'Tav_1.2 Trib-Sez_dist x materia'!J16)/('Tav_1.2 Trib-Sez_dist x materia'!H16+'Tav_1.2 Trib-Sez_dist x materia'!I16)," ")</f>
        <v>23.142857142857142</v>
      </c>
      <c r="J16" s="147">
        <f>IF('Tav_1.2 Trib-Sez_dist x materia'!K16&gt;0,('Tav_1.2 Trib-Sez_dist x materia'!N16-'Tav_1.2 Trib-Sez_dist x materia'!K16)/'Tav_1.2 Trib-Sez_dist x materia'!K16," ")</f>
        <v>0</v>
      </c>
      <c r="K16" s="147" t="str">
        <f>IF('Tav_1.2 Trib-Sez_dist x materia'!L16&gt;0,'Tav_1.2 Trib-Sez_dist x materia'!M16/'Tav_1.2 Trib-Sez_dist x materia'!L16," ")</f>
        <v> </v>
      </c>
      <c r="L16" s="147" t="str">
        <f>IF('Tav_1.2 Trib-Sez_dist x materia'!M16&gt;0,'Tav_1.2 Trib-Sez_dist x materia'!M16/('Tav_1.2 Trib-Sez_dist x materia'!K16+'Tav_1.2 Trib-Sez_dist x materia'!L16)," ")</f>
        <v> </v>
      </c>
      <c r="M16" s="148" t="str">
        <f>IF('Tav_1.2 Trib-Sez_dist x materia'!M16&gt;0,('Tav_1.2 Trib-Sez_dist x materia'!K16+'Tav_1.2 Trib-Sez_dist x materia'!N16)/('Tav_1.2 Trib-Sez_dist x materia'!L16+'Tav_1.2 Trib-Sez_dist x materia'!M16)," ")</f>
        <v> </v>
      </c>
      <c r="N16" s="147">
        <f>IF('Tav_1.2 Trib-Sez_dist x materia'!O16&gt;0,('Tav_1.2 Trib-Sez_dist x materia'!S16-'Tav_1.2 Trib-Sez_dist x materia'!O16)/'Tav_1.2 Trib-Sez_dist x materia'!O16," ")</f>
        <v>-0.56</v>
      </c>
      <c r="O16" s="147">
        <f>IF('Tav_1.2 Trib-Sez_dist x materia'!P16&gt;0,'Tav_1.2 Trib-Sez_dist x materia'!R16/'Tav_1.2 Trib-Sez_dist x materia'!P16," ")</f>
        <v>2.272727272727273</v>
      </c>
      <c r="P16" s="147">
        <f>IF('Tav_1.2 Trib-Sez_dist x materia'!R16&gt;0,'Tav_1.2 Trib-Sez_dist x materia'!R16/('Tav_1.2 Trib-Sez_dist x materia'!O16+'Tav_1.2 Trib-Sez_dist x materia'!P16)," ")</f>
        <v>0.6944444444444444</v>
      </c>
      <c r="Q16" s="148">
        <f>IF('Tav_1.2 Trib-Sez_dist x materia'!R16&gt;0,('Tav_1.2 Trib-Sez_dist x materia'!O16+'Tav_1.2 Trib-Sez_dist x materia'!S16)/('Tav_1.2 Trib-Sez_dist x materia'!P16+'Tav_1.2 Trib-Sez_dist x materia'!R16)," ")</f>
        <v>1</v>
      </c>
    </row>
    <row r="17" spans="1:17" s="59" customFormat="1" ht="13.5" customHeight="1">
      <c r="A17" s="105" t="s">
        <v>150</v>
      </c>
      <c r="B17" s="147">
        <f>IF('Tav_1.2 Trib-Sez_dist x materia'!B17&gt;0,('Tav_1.2 Trib-Sez_dist x materia'!F17-'Tav_1.2 Trib-Sez_dist x materia'!B17)/'Tav_1.2 Trib-Sez_dist x materia'!B17," ")</f>
        <v>0.24478856462179868</v>
      </c>
      <c r="C17" s="147">
        <f>IF('Tav_1.2 Trib-Sez_dist x materia'!C17&gt;0,'Tav_1.2 Trib-Sez_dist x materia'!E17/'Tav_1.2 Trib-Sez_dist x materia'!C17," ")</f>
        <v>0.6264655094065255</v>
      </c>
      <c r="D17" s="147">
        <f>IF('Tav_1.2 Trib-Sez_dist x materia'!E17&gt;0,'Tav_1.2 Trib-Sez_dist x materia'!E17/('Tav_1.2 Trib-Sez_dist x materia'!B17+'Tav_1.2 Trib-Sez_dist x materia'!C17)," ")</f>
        <v>0.24801208937502248</v>
      </c>
      <c r="E17" s="148">
        <f>IF('Tav_1.2 Trib-Sez_dist x materia'!E17&gt;0,('Tav_1.2 Trib-Sez_dist x materia'!B17+'Tav_1.2 Trib-Sez_dist x materia'!F17)/('Tav_1.2 Trib-Sez_dist x materia'!C17+'Tav_1.2 Trib-Sez_dist x materia'!E17)," ")</f>
        <v>2.106057219490389</v>
      </c>
      <c r="F17" s="147">
        <f>IF('Tav_1.2 Trib-Sez_dist x materia'!G17&gt;0,('Tav_1.2 Trib-Sez_dist x materia'!J17-'Tav_1.2 Trib-Sez_dist x materia'!G17)/'Tav_1.2 Trib-Sez_dist x materia'!G17," ")</f>
        <v>0.21540138031238648</v>
      </c>
      <c r="G17" s="147">
        <f>IF('Tav_1.2 Trib-Sez_dist x materia'!H17&gt;0,'Tav_1.2 Trib-Sez_dist x materia'!I17/'Tav_1.2 Trib-Sez_dist x materia'!H17," ")</f>
        <v>0.7499297160528535</v>
      </c>
      <c r="H17" s="147">
        <f>IF('Tav_1.2 Trib-Sez_dist x materia'!I17&gt;0,'Tav_1.2 Trib-Sez_dist x materia'!I17/('Tav_1.2 Trib-Sez_dist x materia'!G17+'Tav_1.2 Trib-Sez_dist x materia'!H17)," ")</f>
        <v>0.3470370129447733</v>
      </c>
      <c r="I17" s="148">
        <f>IF('Tav_1.2 Trib-Sez_dist x materia'!I17&gt;0,('Tav_1.2 Trib-Sez_dist x materia'!G17+'Tav_1.2 Trib-Sez_dist x materia'!J17)/('Tav_1.2 Trib-Sez_dist x materia'!H17+'Tav_1.2 Trib-Sez_dist x materia'!I17)," ")</f>
        <v>1.469756606956382</v>
      </c>
      <c r="J17" s="147">
        <f>IF('Tav_1.2 Trib-Sez_dist x materia'!K17&gt;0,('Tav_1.2 Trib-Sez_dist x materia'!N17-'Tav_1.2 Trib-Sez_dist x materia'!K17)/'Tav_1.2 Trib-Sez_dist x materia'!K17," ")</f>
        <v>0.12491513917175831</v>
      </c>
      <c r="K17" s="147">
        <f>IF('Tav_1.2 Trib-Sez_dist x materia'!L17&gt;0,'Tav_1.2 Trib-Sez_dist x materia'!M17/'Tav_1.2 Trib-Sez_dist x materia'!L17," ")</f>
        <v>0.550397067806964</v>
      </c>
      <c r="L17" s="147">
        <f>IF('Tav_1.2 Trib-Sez_dist x materia'!M17&gt;0,'Tav_1.2 Trib-Sez_dist x materia'!M17/('Tav_1.2 Trib-Sez_dist x materia'!K17+'Tav_1.2 Trib-Sez_dist x materia'!L17)," ")</f>
        <v>0.11967060698631957</v>
      </c>
      <c r="M17" s="148">
        <f>IF('Tav_1.2 Trib-Sez_dist x materia'!M17&gt;0,('Tav_1.2 Trib-Sez_dist x materia'!K17+'Tav_1.2 Trib-Sez_dist x materia'!N17)/('Tav_1.2 Trib-Sez_dist x materia'!L17+'Tav_1.2 Trib-Sez_dist x materia'!M17)," ")</f>
        <v>4.933018124507486</v>
      </c>
      <c r="N17" s="147">
        <f>IF('Tav_1.2 Trib-Sez_dist x materia'!O17&gt;0,('Tav_1.2 Trib-Sez_dist x materia'!S17-'Tav_1.2 Trib-Sez_dist x materia'!O17)/'Tav_1.2 Trib-Sez_dist x materia'!O17," ")</f>
        <v>0.24521131042870173</v>
      </c>
      <c r="O17" s="147">
        <f>IF('Tav_1.2 Trib-Sez_dist x materia'!P17&gt;0,'Tav_1.2 Trib-Sez_dist x materia'!R17/'Tav_1.2 Trib-Sez_dist x materia'!P17," ")</f>
        <v>0.8999441721977545</v>
      </c>
      <c r="P17" s="147">
        <f>IF('Tav_1.2 Trib-Sez_dist x materia'!R17&gt;0,'Tav_1.2 Trib-Sez_dist x materia'!R17/('Tav_1.2 Trib-Sez_dist x materia'!O17+'Tav_1.2 Trib-Sez_dist x materia'!P17)," ")</f>
        <v>0.639147098991145</v>
      </c>
      <c r="Q17" s="148">
        <f>IF('Tav_1.2 Trib-Sez_dist x materia'!R17&gt;0,('Tav_1.2 Trib-Sez_dist x materia'!O17+'Tav_1.2 Trib-Sez_dist x materia'!S17)/('Tav_1.2 Trib-Sez_dist x materia'!P17+'Tav_1.2 Trib-Sez_dist x materia'!R17)," ")</f>
        <v>0.4821900812955043</v>
      </c>
    </row>
    <row r="18" spans="1:17" s="59" customFormat="1" ht="13.5" customHeight="1">
      <c r="A18" s="569" t="s">
        <v>466</v>
      </c>
      <c r="B18" s="147">
        <f>IF('Tav_1.2 Trib-Sez_dist x materia'!B18&gt;0,('Tav_1.2 Trib-Sez_dist x materia'!F18-'Tav_1.2 Trib-Sez_dist x materia'!B18)/'Tav_1.2 Trib-Sez_dist x materia'!B18," ")</f>
        <v>-0.1913447782546495</v>
      </c>
      <c r="C18" s="147">
        <f>IF('Tav_1.2 Trib-Sez_dist x materia'!C18&gt;0,'Tav_1.2 Trib-Sez_dist x materia'!E18/'Tav_1.2 Trib-Sez_dist x materia'!C18," ")</f>
        <v>6.691489361702128</v>
      </c>
      <c r="D18" s="147">
        <f>IF('Tav_1.2 Trib-Sez_dist x materia'!E18&gt;0,'Tav_1.2 Trib-Sez_dist x materia'!E18/('Tav_1.2 Trib-Sez_dist x materia'!B18+'Tav_1.2 Trib-Sez_dist x materia'!C18)," ")</f>
        <v>0.21764705882352942</v>
      </c>
      <c r="E18" s="148">
        <f>IF('Tav_1.2 Trib-Sez_dist x materia'!E18&gt;0,('Tav_1.2 Trib-Sez_dist x materia'!B18+'Tav_1.2 Trib-Sez_dist x materia'!F18)/('Tav_1.2 Trib-Sez_dist x materia'!C18+'Tav_1.2 Trib-Sez_dist x materia'!E18)," ")</f>
        <v>6.994467496542185</v>
      </c>
      <c r="F18" s="147">
        <f>IF('Tav_1.2 Trib-Sez_dist x materia'!G18&gt;0,('Tav_1.2 Trib-Sez_dist x materia'!J18-'Tav_1.2 Trib-Sez_dist x materia'!G18)/'Tav_1.2 Trib-Sez_dist x materia'!G18," ")</f>
        <v>-0.17380352644836272</v>
      </c>
      <c r="G18" s="147">
        <f>IF('Tav_1.2 Trib-Sez_dist x materia'!H18&gt;0,'Tav_1.2 Trib-Sez_dist x materia'!I18/'Tav_1.2 Trib-Sez_dist x materia'!H18," ")</f>
        <v>1.3920454545454546</v>
      </c>
      <c r="H18" s="147">
        <f>IF('Tav_1.2 Trib-Sez_dist x materia'!I18&gt;0,'Tav_1.2 Trib-Sez_dist x materia'!I18/('Tav_1.2 Trib-Sez_dist x materia'!G18+'Tav_1.2 Trib-Sez_dist x materia'!H18)," ")</f>
        <v>0.42757417102966844</v>
      </c>
      <c r="I18" s="148">
        <f>IF('Tav_1.2 Trib-Sez_dist x materia'!I18&gt;0,('Tav_1.2 Trib-Sez_dist x materia'!G18+'Tav_1.2 Trib-Sez_dist x materia'!J18)/('Tav_1.2 Trib-Sez_dist x materia'!H18+'Tav_1.2 Trib-Sez_dist x materia'!I18)," ")</f>
        <v>1.7220902612826603</v>
      </c>
      <c r="J18" s="147">
        <f>IF('Tav_1.2 Trib-Sez_dist x materia'!K18&gt;0,('Tav_1.2 Trib-Sez_dist x materia'!N18-'Tav_1.2 Trib-Sez_dist x materia'!K18)/'Tav_1.2 Trib-Sez_dist x materia'!K18," ")</f>
        <v>-0.1871275327771156</v>
      </c>
      <c r="K18" s="147">
        <f>IF('Tav_1.2 Trib-Sez_dist x materia'!L18&gt;0,'Tav_1.2 Trib-Sez_dist x materia'!M18/'Tav_1.2 Trib-Sez_dist x materia'!L18," ")</f>
        <v>5.361111111111111</v>
      </c>
      <c r="L18" s="147">
        <f>IF('Tav_1.2 Trib-Sez_dist x materia'!M18&gt;0,'Tav_1.2 Trib-Sez_dist x materia'!M18/('Tav_1.2 Trib-Sez_dist x materia'!K18+'Tav_1.2 Trib-Sez_dist x materia'!L18)," ")</f>
        <v>0.22057142857142858</v>
      </c>
      <c r="M18" s="148">
        <f>IF('Tav_1.2 Trib-Sez_dist x materia'!M18&gt;0,('Tav_1.2 Trib-Sez_dist x materia'!K18+'Tav_1.2 Trib-Sez_dist x materia'!N18)/('Tav_1.2 Trib-Sez_dist x materia'!L18+'Tav_1.2 Trib-Sez_dist x materia'!M18)," ")</f>
        <v>6.641921397379913</v>
      </c>
      <c r="N18" s="147">
        <f>IF('Tav_1.2 Trib-Sez_dist x materia'!O18&gt;0,('Tav_1.2 Trib-Sez_dist x materia'!S18-'Tav_1.2 Trib-Sez_dist x materia'!O18)/'Tav_1.2 Trib-Sez_dist x materia'!O18," ")</f>
        <v>-0.8773006134969326</v>
      </c>
      <c r="O18" s="147">
        <f>IF('Tav_1.2 Trib-Sez_dist x materia'!P18&gt;0,'Tav_1.2 Trib-Sez_dist x materia'!R18/'Tav_1.2 Trib-Sez_dist x materia'!P18," ")</f>
        <v>2.134920634920635</v>
      </c>
      <c r="P18" s="147">
        <f>IF('Tav_1.2 Trib-Sez_dist x materia'!R18&gt;0,'Tav_1.2 Trib-Sez_dist x materia'!R18/('Tav_1.2 Trib-Sez_dist x materia'!O18+'Tav_1.2 Trib-Sez_dist x materia'!P18)," ")</f>
        <v>0.9307958477508651</v>
      </c>
      <c r="Q18" s="148">
        <f>IF('Tav_1.2 Trib-Sez_dist x materia'!R18&gt;0,('Tav_1.2 Trib-Sez_dist x materia'!O18+'Tav_1.2 Trib-Sez_dist x materia'!S18)/('Tav_1.2 Trib-Sez_dist x materia'!P18+'Tav_1.2 Trib-Sez_dist x materia'!R18)," ")</f>
        <v>0.46329113924050636</v>
      </c>
    </row>
    <row r="19" spans="1:17" s="58" customFormat="1" ht="17.25" customHeight="1">
      <c r="A19" s="107" t="s">
        <v>152</v>
      </c>
      <c r="B19" s="147">
        <f>IF('Tav_1.2 Trib-Sez_dist x materia'!B19&gt;0,('Tav_1.2 Trib-Sez_dist x materia'!F19-'Tav_1.2 Trib-Sez_dist x materia'!B19)/'Tav_1.2 Trib-Sez_dist x materia'!B19," ")</f>
        <v>0.6491543720762865</v>
      </c>
      <c r="C19" s="147">
        <f>IF('Tav_1.2 Trib-Sez_dist x materia'!C19&gt;0,'Tav_1.2 Trib-Sez_dist x materia'!E19/'Tav_1.2 Trib-Sez_dist x materia'!C19," ")</f>
        <v>0.4150453955901427</v>
      </c>
      <c r="D19" s="147">
        <f>IF('Tav_1.2 Trib-Sez_dist x materia'!E19&gt;0,'Tav_1.2 Trib-Sez_dist x materia'!E19/('Tav_1.2 Trib-Sez_dist x materia'!B19+'Tav_1.2 Trib-Sez_dist x materia'!C19)," ")</f>
        <v>0.2183182670987549</v>
      </c>
      <c r="E19" s="148">
        <f>IF('Tav_1.2 Trib-Sez_dist x materia'!E19&gt;0,('Tav_1.2 Trib-Sez_dist x materia'!B19+'Tav_1.2 Trib-Sez_dist x materia'!F19)/('Tav_1.2 Trib-Sez_dist x materia'!C19+'Tav_1.2 Trib-Sez_dist x materia'!E19)," ")</f>
        <v>1.6869844179651696</v>
      </c>
      <c r="F19" s="147">
        <f>IF('Tav_1.2 Trib-Sez_dist x materia'!G19&gt;0,('Tav_1.2 Trib-Sez_dist x materia'!J19-'Tav_1.2 Trib-Sez_dist x materia'!G19)/'Tav_1.2 Trib-Sez_dist x materia'!G19," ")</f>
        <v>0.7456724367509987</v>
      </c>
      <c r="G19" s="147">
        <f>IF('Tav_1.2 Trib-Sez_dist x materia'!H19&gt;0,'Tav_1.2 Trib-Sez_dist x materia'!I19/'Tav_1.2 Trib-Sez_dist x materia'!H19," ")</f>
        <v>0.8005698005698005</v>
      </c>
      <c r="H19" s="147">
        <f>IF('Tav_1.2 Trib-Sez_dist x materia'!I19&gt;0,'Tav_1.2 Trib-Sez_dist x materia'!I19/('Tav_1.2 Trib-Sez_dist x materia'!G19+'Tav_1.2 Trib-Sez_dist x materia'!H19)," ")</f>
        <v>0.6316381005900534</v>
      </c>
      <c r="I19" s="148">
        <f>IF('Tav_1.2 Trib-Sez_dist x materia'!I19&gt;0,('Tav_1.2 Trib-Sez_dist x materia'!G19+'Tav_1.2 Trib-Sez_dist x materia'!J19)/('Tav_1.2 Trib-Sez_dist x materia'!H19+'Tav_1.2 Trib-Sez_dist x materia'!I19)," ")</f>
        <v>0.40783227848101267</v>
      </c>
      <c r="J19" s="147">
        <f>IF('Tav_1.2 Trib-Sez_dist x materia'!K19&gt;0,('Tav_1.2 Trib-Sez_dist x materia'!N19-'Tav_1.2 Trib-Sez_dist x materia'!K19)/'Tav_1.2 Trib-Sez_dist x materia'!K19," ")</f>
        <v>0.01444564824846515</v>
      </c>
      <c r="K19" s="147">
        <f>IF('Tav_1.2 Trib-Sez_dist x materia'!L19&gt;0,'Tav_1.2 Trib-Sez_dist x materia'!M19/'Tav_1.2 Trib-Sez_dist x materia'!L19," ")</f>
        <v>0.9201596806387226</v>
      </c>
      <c r="L19" s="147">
        <f>IF('Tav_1.2 Trib-Sez_dist x materia'!M19&gt;0,'Tav_1.2 Trib-Sez_dist x materia'!M19/('Tav_1.2 Trib-Sez_dist x materia'!K19+'Tav_1.2 Trib-Sez_dist x materia'!L19)," ")</f>
        <v>0.14097859327217124</v>
      </c>
      <c r="M19" s="148">
        <f>IF('Tav_1.2 Trib-Sez_dist x materia'!M19&gt;0,('Tav_1.2 Trib-Sez_dist x materia'!K19+'Tav_1.2 Trib-Sez_dist x materia'!N19)/('Tav_1.2 Trib-Sez_dist x materia'!L19+'Tav_1.2 Trib-Sez_dist x materia'!M19)," ")</f>
        <v>5.798336798336798</v>
      </c>
      <c r="N19" s="147">
        <f>IF('Tav_1.2 Trib-Sez_dist x materia'!O19&gt;0,('Tav_1.2 Trib-Sez_dist x materia'!S19-'Tav_1.2 Trib-Sez_dist x materia'!O19)/'Tav_1.2 Trib-Sez_dist x materia'!O19," ")</f>
        <v>0.5085714285714286</v>
      </c>
      <c r="O19" s="147">
        <f>IF('Tav_1.2 Trib-Sez_dist x materia'!P19&gt;0,'Tav_1.2 Trib-Sez_dist x materia'!R19/'Tav_1.2 Trib-Sez_dist x materia'!P19," ")</f>
        <v>0.9088674994880197</v>
      </c>
      <c r="P19" s="147">
        <f>IF('Tav_1.2 Trib-Sez_dist x materia'!R19&gt;0,'Tav_1.2 Trib-Sez_dist x materia'!R19/('Tav_1.2 Trib-Sez_dist x materia'!O19+'Tav_1.2 Trib-Sez_dist x materia'!P19)," ")</f>
        <v>0.7707537339353943</v>
      </c>
      <c r="Q19" s="148">
        <f>IF('Tav_1.2 Trib-Sez_dist x materia'!R19&gt;0,('Tav_1.2 Trib-Sez_dist x materia'!O19+'Tav_1.2 Trib-Sez_dist x materia'!S19)/('Tav_1.2 Trib-Sez_dist x materia'!P19+'Tav_1.2 Trib-Sez_dist x materia'!R19)," ")</f>
        <v>0.2354897543182062</v>
      </c>
    </row>
    <row r="20" spans="1:17" s="58" customFormat="1" ht="15" customHeight="1">
      <c r="A20" s="104" t="s">
        <v>153</v>
      </c>
      <c r="B20" s="147">
        <f>IF('Tav_1.2 Trib-Sez_dist x materia'!B20&gt;0,('Tav_1.2 Trib-Sez_dist x materia'!F20-'Tav_1.2 Trib-Sez_dist x materia'!B20)/'Tav_1.2 Trib-Sez_dist x materia'!B20," ")</f>
        <v>-1</v>
      </c>
      <c r="C20" s="147">
        <f>IF('Tav_1.2 Trib-Sez_dist x materia'!C20&gt;0,'Tav_1.2 Trib-Sez_dist x materia'!E20/'Tav_1.2 Trib-Sez_dist x materia'!C20," ")</f>
        <v>28.916666666666668</v>
      </c>
      <c r="D20" s="147">
        <f>IF('Tav_1.2 Trib-Sez_dist x materia'!E20&gt;0,'Tav_1.2 Trib-Sez_dist x materia'!E20/('Tav_1.2 Trib-Sez_dist x materia'!B20+'Tav_1.2 Trib-Sez_dist x materia'!C20)," ")</f>
        <v>1</v>
      </c>
      <c r="E20" s="148">
        <f>IF('Tav_1.2 Trib-Sez_dist x materia'!E20&gt;0,('Tav_1.2 Trib-Sez_dist x materia'!B20+'Tav_1.2 Trib-Sez_dist x materia'!F20)/('Tav_1.2 Trib-Sez_dist x materia'!C20+'Tav_1.2 Trib-Sez_dist x materia'!E20)," ")</f>
        <v>0.9331476323119777</v>
      </c>
      <c r="F20" s="147">
        <f>IF('Tav_1.2 Trib-Sez_dist x materia'!G20&gt;0,('Tav_1.2 Trib-Sez_dist x materia'!J20-'Tav_1.2 Trib-Sez_dist x materia'!G20)/'Tav_1.2 Trib-Sez_dist x materia'!G20," ")</f>
        <v>-1</v>
      </c>
      <c r="G20" s="147">
        <f>IF('Tav_1.2 Trib-Sez_dist x materia'!H20&gt;0,'Tav_1.2 Trib-Sez_dist x materia'!I20/'Tav_1.2 Trib-Sez_dist x materia'!H20," ")</f>
        <v>7.9523809523809526</v>
      </c>
      <c r="H20" s="147">
        <f>IF('Tav_1.2 Trib-Sez_dist x materia'!I20&gt;0,'Tav_1.2 Trib-Sez_dist x materia'!I20/('Tav_1.2 Trib-Sez_dist x materia'!G20+'Tav_1.2 Trib-Sez_dist x materia'!H20)," ")</f>
        <v>1</v>
      </c>
      <c r="I20" s="148">
        <f>IF('Tav_1.2 Trib-Sez_dist x materia'!I20&gt;0,('Tav_1.2 Trib-Sez_dist x materia'!G20+'Tav_1.2 Trib-Sez_dist x materia'!J20)/('Tav_1.2 Trib-Sez_dist x materia'!H20+'Tav_1.2 Trib-Sez_dist x materia'!I20)," ")</f>
        <v>0.776595744680851</v>
      </c>
      <c r="J20" s="683" t="s">
        <v>458</v>
      </c>
      <c r="K20" s="683" t="s">
        <v>458</v>
      </c>
      <c r="L20" s="683" t="s">
        <v>458</v>
      </c>
      <c r="M20" s="684" t="s">
        <v>458</v>
      </c>
      <c r="N20" s="147">
        <f>IF('Tav_1.2 Trib-Sez_dist x materia'!O20&gt;0,('Tav_1.2 Trib-Sez_dist x materia'!S20-'Tav_1.2 Trib-Sez_dist x materia'!O20)/'Tav_1.2 Trib-Sez_dist x materia'!O20," ")</f>
        <v>-1</v>
      </c>
      <c r="O20" s="147">
        <f>IF('Tav_1.2 Trib-Sez_dist x materia'!P20&gt;0,'Tav_1.2 Trib-Sez_dist x materia'!R20/'Tav_1.2 Trib-Sez_dist x materia'!P20," ")</f>
        <v>1.5324675324675325</v>
      </c>
      <c r="P20" s="147">
        <f>IF('Tav_1.2 Trib-Sez_dist x materia'!R20&gt;0,'Tav_1.2 Trib-Sez_dist x materia'!R20/('Tav_1.2 Trib-Sez_dist x materia'!O20+'Tav_1.2 Trib-Sez_dist x materia'!P20)," ")</f>
        <v>1</v>
      </c>
      <c r="Q20" s="148">
        <f>IF('Tav_1.2 Trib-Sez_dist x materia'!R20&gt;0,('Tav_1.2 Trib-Sez_dist x materia'!O20+'Tav_1.2 Trib-Sez_dist x materia'!S20)/('Tav_1.2 Trib-Sez_dist x materia'!P20+'Tav_1.2 Trib-Sez_dist x materia'!R20)," ")</f>
        <v>0.21025641025641026</v>
      </c>
    </row>
    <row r="21" spans="1:17" s="59" customFormat="1" ht="15" customHeight="1">
      <c r="A21" s="108" t="s">
        <v>154</v>
      </c>
      <c r="B21" s="147">
        <f>IF('Tav_1.2 Trib-Sez_dist x materia'!B21&gt;0,('Tav_1.2 Trib-Sez_dist x materia'!F21-'Tav_1.2 Trib-Sez_dist x materia'!B21)/'Tav_1.2 Trib-Sez_dist x materia'!B21," ")</f>
        <v>-0.010267534345625452</v>
      </c>
      <c r="C21" s="147">
        <f>IF('Tav_1.2 Trib-Sez_dist x materia'!C21&gt;0,'Tav_1.2 Trib-Sez_dist x materia'!E21/'Tav_1.2 Trib-Sez_dist x materia'!C21," ")</f>
        <v>1.0220086794792314</v>
      </c>
      <c r="D21" s="147">
        <f>IF('Tav_1.2 Trib-Sez_dist x materia'!E21&gt;0,'Tav_1.2 Trib-Sez_dist x materia'!E21/('Tav_1.2 Trib-Sez_dist x materia'!B21+'Tav_1.2 Trib-Sez_dist x materia'!C21)," ")</f>
        <v>0.3251158662853762</v>
      </c>
      <c r="E21" s="148">
        <f>IF('Tav_1.2 Trib-Sez_dist x materia'!E21&gt;0,('Tav_1.2 Trib-Sez_dist x materia'!B21+'Tav_1.2 Trib-Sez_dist x materia'!F21)/('Tav_1.2 Trib-Sez_dist x materia'!C21+'Tav_1.2 Trib-Sez_dist x materia'!E21)," ")</f>
        <v>2.1093055342633757</v>
      </c>
      <c r="F21" s="147">
        <f>IF('Tav_1.2 Trib-Sez_dist x materia'!G21&gt;0,('Tav_1.2 Trib-Sez_dist x materia'!J21-'Tav_1.2 Trib-Sez_dist x materia'!G21)/'Tav_1.2 Trib-Sez_dist x materia'!G21," ")</f>
        <v>0.13819444444444445</v>
      </c>
      <c r="G21" s="147">
        <f>IF('Tav_1.2 Trib-Sez_dist x materia'!H21&gt;0,'Tav_1.2 Trib-Sez_dist x materia'!I21/'Tav_1.2 Trib-Sez_dist x materia'!H21," ")</f>
        <v>0.9342366159947125</v>
      </c>
      <c r="H21" s="147">
        <f>IF('Tav_1.2 Trib-Sez_dist x materia'!I21&gt;0,'Tav_1.2 Trib-Sez_dist x materia'!I21/('Tav_1.2 Trib-Sez_dist x materia'!G21+'Tav_1.2 Trib-Sez_dist x materia'!H21)," ")</f>
        <v>0.6330049261083743</v>
      </c>
      <c r="I21" s="148">
        <f>IF('Tav_1.2 Trib-Sez_dist x materia'!I21&gt;0,('Tav_1.2 Trib-Sez_dist x materia'!G21+'Tav_1.2 Trib-Sez_dist x materia'!J21)/('Tav_1.2 Trib-Sez_dist x materia'!H21+'Tav_1.2 Trib-Sez_dist x materia'!I21)," ")</f>
        <v>0.5260550145224671</v>
      </c>
      <c r="J21" s="147">
        <f>IF('Tav_1.2 Trib-Sez_dist x materia'!K21&gt;0,('Tav_1.2 Trib-Sez_dist x materia'!N21-'Tav_1.2 Trib-Sez_dist x materia'!K21)/'Tav_1.2 Trib-Sez_dist x materia'!K21," ")</f>
        <v>-0.03242793791574279</v>
      </c>
      <c r="K21" s="147">
        <f>IF('Tav_1.2 Trib-Sez_dist x materia'!L21&gt;0,'Tav_1.2 Trib-Sez_dist x materia'!M21/'Tav_1.2 Trib-Sez_dist x materia'!L21," ")</f>
        <v>1.217877094972067</v>
      </c>
      <c r="L21" s="147">
        <f>IF('Tav_1.2 Trib-Sez_dist x materia'!M21&gt;0,'Tav_1.2 Trib-Sez_dist x materia'!M21/('Tav_1.2 Trib-Sez_dist x materia'!K21+'Tav_1.2 Trib-Sez_dist x materia'!L21)," ")</f>
        <v>0.1577804583835947</v>
      </c>
      <c r="M21" s="148">
        <f>IF('Tav_1.2 Trib-Sez_dist x materia'!M21&gt;0,('Tav_1.2 Trib-Sez_dist x materia'!K21+'Tav_1.2 Trib-Sez_dist x materia'!N21)/('Tav_1.2 Trib-Sez_dist x materia'!L21+'Tav_1.2 Trib-Sez_dist x materia'!M21)," ")</f>
        <v>5.960537363560033</v>
      </c>
      <c r="N21" s="147">
        <f>IF('Tav_1.2 Trib-Sez_dist x materia'!O21&gt;0,('Tav_1.2 Trib-Sez_dist x materia'!S21-'Tav_1.2 Trib-Sez_dist x materia'!O21)/'Tav_1.2 Trib-Sez_dist x materia'!O21," ")</f>
        <v>0.09500805152979067</v>
      </c>
      <c r="O21" s="147">
        <f>IF('Tav_1.2 Trib-Sez_dist x materia'!P21&gt;0,'Tav_1.2 Trib-Sez_dist x materia'!R21/'Tav_1.2 Trib-Sez_dist x materia'!P21," ")</f>
        <v>0.9773599386032233</v>
      </c>
      <c r="P21" s="147">
        <f>IF('Tav_1.2 Trib-Sez_dist x materia'!R21&gt;0,'Tav_1.2 Trib-Sez_dist x materia'!R21/('Tav_1.2 Trib-Sez_dist x materia'!O21+'Tav_1.2 Trib-Sez_dist x materia'!P21)," ")</f>
        <v>0.7892779671521537</v>
      </c>
      <c r="Q21" s="148">
        <f>IF('Tav_1.2 Trib-Sez_dist x materia'!R21&gt;0,('Tav_1.2 Trib-Sez_dist x materia'!O21+'Tav_1.2 Trib-Sez_dist x materia'!S21)/('Tav_1.2 Trib-Sez_dist x materia'!P21+'Tav_1.2 Trib-Sez_dist x materia'!R21)," ")</f>
        <v>0.25247428682320977</v>
      </c>
    </row>
    <row r="22" spans="1:17" s="58" customFormat="1" ht="15" customHeight="1">
      <c r="A22" s="109" t="s">
        <v>155</v>
      </c>
      <c r="B22" s="147">
        <f>IF('Tav_1.2 Trib-Sez_dist x materia'!B22&gt;0,('Tav_1.2 Trib-Sez_dist x materia'!F22-'Tav_1.2 Trib-Sez_dist x materia'!B22)/'Tav_1.2 Trib-Sez_dist x materia'!B22," ")</f>
        <v>0.4222285877971928</v>
      </c>
      <c r="C22" s="147">
        <f>IF('Tav_1.2 Trib-Sez_dist x materia'!C22&gt;0,'Tav_1.2 Trib-Sez_dist x materia'!E22/'Tav_1.2 Trib-Sez_dist x materia'!C22," ")</f>
        <v>0.5481299816063765</v>
      </c>
      <c r="D22" s="147">
        <f>IF('Tav_1.2 Trib-Sez_dist x materia'!E22&gt;0,'Tav_1.2 Trib-Sez_dist x materia'!E22/('Tav_1.2 Trib-Sez_dist x materia'!B22+'Tav_1.2 Trib-Sez_dist x materia'!C22)," ")</f>
        <v>0.26477121279431365</v>
      </c>
      <c r="E22" s="148">
        <f>IF('Tav_1.2 Trib-Sez_dist x materia'!E22&gt;0,('Tav_1.2 Trib-Sez_dist x materia'!B22+'Tav_1.2 Trib-Sez_dist x materia'!F22)/('Tav_1.2 Trib-Sez_dist x materia'!C22+'Tav_1.2 Trib-Sez_dist x materia'!E22)," ")</f>
        <v>1.6744554455445544</v>
      </c>
      <c r="F22" s="147">
        <f>IF('Tav_1.2 Trib-Sez_dist x materia'!G22&gt;0,('Tav_1.2 Trib-Sez_dist x materia'!J22-'Tav_1.2 Trib-Sez_dist x materia'!G22)/'Tav_1.2 Trib-Sez_dist x materia'!G22," ")</f>
        <v>2.4803212851405623</v>
      </c>
      <c r="G22" s="147">
        <f>IF('Tav_1.2 Trib-Sez_dist x materia'!H22&gt;0,'Tav_1.2 Trib-Sez_dist x materia'!I22/'Tav_1.2 Trib-Sez_dist x materia'!H22," ")</f>
        <v>0.45853059793091355</v>
      </c>
      <c r="H22" s="147">
        <f>IF('Tav_1.2 Trib-Sez_dist x materia'!I22&gt;0,'Tav_1.2 Trib-Sez_dist x materia'!I22/('Tav_1.2 Trib-Sez_dist x materia'!G22+'Tav_1.2 Trib-Sez_dist x materia'!H22)," ")</f>
        <v>0.37636729994242946</v>
      </c>
      <c r="I22" s="148">
        <f>IF('Tav_1.2 Trib-Sez_dist x materia'!I22&gt;0,('Tav_1.2 Trib-Sez_dist x materia'!G22+'Tav_1.2 Trib-Sez_dist x materia'!J22)/('Tav_1.2 Trib-Sez_dist x materia'!H22+'Tav_1.2 Trib-Sez_dist x materia'!I22)," ")</f>
        <v>0.6705938927626833</v>
      </c>
      <c r="J22" s="147">
        <f>IF('Tav_1.2 Trib-Sez_dist x materia'!K22&gt;0,('Tav_1.2 Trib-Sez_dist x materia'!N22-'Tav_1.2 Trib-Sez_dist x materia'!K22)/'Tav_1.2 Trib-Sez_dist x materia'!K22," ")</f>
        <v>-0.07197346600331675</v>
      </c>
      <c r="K22" s="147">
        <f>IF('Tav_1.2 Trib-Sez_dist x materia'!L22&gt;0,'Tav_1.2 Trib-Sez_dist x materia'!M22/'Tav_1.2 Trib-Sez_dist x materia'!L22," ")</f>
        <v>1.468682505399568</v>
      </c>
      <c r="L22" s="147">
        <f>IF('Tav_1.2 Trib-Sez_dist x materia'!M22&gt;0,'Tav_1.2 Trib-Sez_dist x materia'!M22/('Tav_1.2 Trib-Sez_dist x materia'!K22+'Tav_1.2 Trib-Sez_dist x materia'!L22)," ")</f>
        <v>0.19551466359977</v>
      </c>
      <c r="M22" s="148">
        <f>IF('Tav_1.2 Trib-Sez_dist x materia'!M22&gt;0,('Tav_1.2 Trib-Sez_dist x materia'!K22+'Tav_1.2 Trib-Sez_dist x materia'!N22)/('Tav_1.2 Trib-Sez_dist x materia'!L22+'Tav_1.2 Trib-Sez_dist x materia'!M22)," ")</f>
        <v>5.085739282589676</v>
      </c>
      <c r="N22" s="147">
        <f>IF('Tav_1.2 Trib-Sez_dist x materia'!O22&gt;0,('Tav_1.2 Trib-Sez_dist x materia'!S22-'Tav_1.2 Trib-Sez_dist x materia'!O22)/'Tav_1.2 Trib-Sez_dist x materia'!O22," ")</f>
        <v>-0.30315278900565884</v>
      </c>
      <c r="O22" s="147">
        <f>IF('Tav_1.2 Trib-Sez_dist x materia'!P22&gt;0,'Tav_1.2 Trib-Sez_dist x materia'!R22/'Tav_1.2 Trib-Sez_dist x materia'!P22," ")</f>
        <v>1.0896485775759024</v>
      </c>
      <c r="P22" s="147">
        <f>IF('Tav_1.2 Trib-Sez_dist x materia'!R22&gt;0,'Tav_1.2 Trib-Sez_dist x materia'!R22/('Tav_1.2 Trib-Sez_dist x materia'!O22+'Tav_1.2 Trib-Sez_dist x materia'!P22)," ")</f>
        <v>0.840959409594096</v>
      </c>
      <c r="Q22" s="148">
        <f>IF('Tav_1.2 Trib-Sez_dist x materia'!R22&gt;0,('Tav_1.2 Trib-Sez_dist x materia'!O22+'Tav_1.2 Trib-Sez_dist x materia'!S22)/('Tav_1.2 Trib-Sez_dist x materia'!P22+'Tav_1.2 Trib-Sez_dist x materia'!R22)," ")</f>
        <v>0.24013270792815467</v>
      </c>
    </row>
    <row r="23" spans="1:17" s="58" customFormat="1" ht="15" customHeight="1">
      <c r="A23" s="104" t="s">
        <v>156</v>
      </c>
      <c r="B23" s="147">
        <f>IF('Tav_1.2 Trib-Sez_dist x materia'!B23&gt;0,('Tav_1.2 Trib-Sez_dist x materia'!F23-'Tav_1.2 Trib-Sez_dist x materia'!B23)/'Tav_1.2 Trib-Sez_dist x materia'!B23," ")</f>
        <v>-1</v>
      </c>
      <c r="C23" s="147">
        <f>IF('Tav_1.2 Trib-Sez_dist x materia'!C23&gt;0,'Tav_1.2 Trib-Sez_dist x materia'!E23/'Tav_1.2 Trib-Sez_dist x materia'!C23," ")</f>
        <v>28.67391304347826</v>
      </c>
      <c r="D23" s="147">
        <f>IF('Tav_1.2 Trib-Sez_dist x materia'!E23&gt;0,'Tav_1.2 Trib-Sez_dist x materia'!E23/('Tav_1.2 Trib-Sez_dist x materia'!B23+'Tav_1.2 Trib-Sez_dist x materia'!C23)," ")</f>
        <v>1</v>
      </c>
      <c r="E23" s="148">
        <f>IF('Tav_1.2 Trib-Sez_dist x materia'!E23&gt;0,('Tav_1.2 Trib-Sez_dist x materia'!B23+'Tav_1.2 Trib-Sez_dist x materia'!F23)/('Tav_1.2 Trib-Sez_dist x materia'!C23+'Tav_1.2 Trib-Sez_dist x materia'!E23)," ")</f>
        <v>0.9326007326007326</v>
      </c>
      <c r="F23" s="147">
        <f>IF('Tav_1.2 Trib-Sez_dist x materia'!G23&gt;0,('Tav_1.2 Trib-Sez_dist x materia'!J23-'Tav_1.2 Trib-Sez_dist x materia'!G23)/'Tav_1.2 Trib-Sez_dist x materia'!G23," ")</f>
        <v>-1</v>
      </c>
      <c r="G23" s="147">
        <f>IF('Tav_1.2 Trib-Sez_dist x materia'!H23&gt;0,'Tav_1.2 Trib-Sez_dist x materia'!I23/'Tav_1.2 Trib-Sez_dist x materia'!H23," ")</f>
        <v>38.916666666666664</v>
      </c>
      <c r="H23" s="147">
        <f>IF('Tav_1.2 Trib-Sez_dist x materia'!I23&gt;0,'Tav_1.2 Trib-Sez_dist x materia'!I23/('Tav_1.2 Trib-Sez_dist x materia'!G23+'Tav_1.2 Trib-Sez_dist x materia'!H23)," ")</f>
        <v>1</v>
      </c>
      <c r="I23" s="148">
        <f>IF('Tav_1.2 Trib-Sez_dist x materia'!I23&gt;0,('Tav_1.2 Trib-Sez_dist x materia'!G23+'Tav_1.2 Trib-Sez_dist x materia'!J23)/('Tav_1.2 Trib-Sez_dist x materia'!H23+'Tav_1.2 Trib-Sez_dist x materia'!I23)," ")</f>
        <v>0.9498956158663883</v>
      </c>
      <c r="J23" s="147" t="s">
        <v>458</v>
      </c>
      <c r="K23" s="147" t="s">
        <v>458</v>
      </c>
      <c r="L23" s="147" t="s">
        <v>458</v>
      </c>
      <c r="M23" s="148" t="s">
        <v>458</v>
      </c>
      <c r="N23" s="147">
        <f>IF('Tav_1.2 Trib-Sez_dist x materia'!O23&gt;0,('Tav_1.2 Trib-Sez_dist x materia'!S23-'Tav_1.2 Trib-Sez_dist x materia'!O23)/'Tav_1.2 Trib-Sez_dist x materia'!O23," ")</f>
        <v>-1</v>
      </c>
      <c r="O23" s="147">
        <f>IF('Tav_1.2 Trib-Sez_dist x materia'!P23&gt;0,'Tav_1.2 Trib-Sez_dist x materia'!R23/'Tav_1.2 Trib-Sez_dist x materia'!P23," ")</f>
        <v>3.6666666666666665</v>
      </c>
      <c r="P23" s="147">
        <f>IF('Tav_1.2 Trib-Sez_dist x materia'!R23&gt;0,'Tav_1.2 Trib-Sez_dist x materia'!R23/('Tav_1.2 Trib-Sez_dist x materia'!O23+'Tav_1.2 Trib-Sez_dist x materia'!P23)," ")</f>
        <v>1</v>
      </c>
      <c r="Q23" s="148">
        <f>IF('Tav_1.2 Trib-Sez_dist x materia'!R23&gt;0,('Tav_1.2 Trib-Sez_dist x materia'!O23+'Tav_1.2 Trib-Sez_dist x materia'!S23)/('Tav_1.2 Trib-Sez_dist x materia'!P23+'Tav_1.2 Trib-Sez_dist x materia'!R23)," ")</f>
        <v>0.5714285714285714</v>
      </c>
    </row>
    <row r="24" spans="1:17" s="58" customFormat="1" ht="15" customHeight="1">
      <c r="A24" s="219" t="s">
        <v>157</v>
      </c>
      <c r="B24" s="147">
        <f>IF('Tav_1.2 Trib-Sez_dist x materia'!B24&gt;0,('Tav_1.2 Trib-Sez_dist x materia'!F24-'Tav_1.2 Trib-Sez_dist x materia'!B24)/'Tav_1.2 Trib-Sez_dist x materia'!B24," ")</f>
        <v>-1</v>
      </c>
      <c r="C24" s="147">
        <f>IF('Tav_1.2 Trib-Sez_dist x materia'!C24&gt;0,'Tav_1.2 Trib-Sez_dist x materia'!E24/'Tav_1.2 Trib-Sez_dist x materia'!C24," ")</f>
        <v>27.34285714285714</v>
      </c>
      <c r="D24" s="147">
        <f>IF('Tav_1.2 Trib-Sez_dist x materia'!E24&gt;0,'Tav_1.2 Trib-Sez_dist x materia'!E24/('Tav_1.2 Trib-Sez_dist x materia'!B24+'Tav_1.2 Trib-Sez_dist x materia'!C24)," ")</f>
        <v>1</v>
      </c>
      <c r="E24" s="148">
        <f>IF('Tav_1.2 Trib-Sez_dist x materia'!E24&gt;0,('Tav_1.2 Trib-Sez_dist x materia'!B24+'Tav_1.2 Trib-Sez_dist x materia'!F24)/('Tav_1.2 Trib-Sez_dist x materia'!C24+'Tav_1.2 Trib-Sez_dist x materia'!E24)," ")</f>
        <v>0.9294354838709677</v>
      </c>
      <c r="F24" s="147">
        <f>IF('Tav_1.2 Trib-Sez_dist x materia'!G24&gt;0,('Tav_1.2 Trib-Sez_dist x materia'!J24-'Tav_1.2 Trib-Sez_dist x materia'!G24)/'Tav_1.2 Trib-Sez_dist x materia'!G24," ")</f>
        <v>-1</v>
      </c>
      <c r="G24" s="147">
        <f>IF('Tav_1.2 Trib-Sez_dist x materia'!H24&gt;0,'Tav_1.2 Trib-Sez_dist x materia'!I24/'Tav_1.2 Trib-Sez_dist x materia'!H24," ")</f>
        <v>5.207792207792208</v>
      </c>
      <c r="H24" s="147">
        <f>IF('Tav_1.2 Trib-Sez_dist x materia'!I24&gt;0,'Tav_1.2 Trib-Sez_dist x materia'!I24/('Tav_1.2 Trib-Sez_dist x materia'!G24+'Tav_1.2 Trib-Sez_dist x materia'!H24)," ")</f>
        <v>1</v>
      </c>
      <c r="I24" s="148">
        <f>IF('Tav_1.2 Trib-Sez_dist x materia'!I24&gt;0,('Tav_1.2 Trib-Sez_dist x materia'!G24+'Tav_1.2 Trib-Sez_dist x materia'!J24)/('Tav_1.2 Trib-Sez_dist x materia'!H24+'Tav_1.2 Trib-Sez_dist x materia'!I24)," ")</f>
        <v>0.6778242677824268</v>
      </c>
      <c r="J24" s="147" t="s">
        <v>458</v>
      </c>
      <c r="K24" s="147" t="s">
        <v>458</v>
      </c>
      <c r="L24" s="147" t="s">
        <v>458</v>
      </c>
      <c r="M24" s="148" t="s">
        <v>458</v>
      </c>
      <c r="N24" s="147">
        <f>IF('Tav_1.2 Trib-Sez_dist x materia'!O24&gt;0,('Tav_1.2 Trib-Sez_dist x materia'!S24-'Tav_1.2 Trib-Sez_dist x materia'!O24)/'Tav_1.2 Trib-Sez_dist x materia'!O24," ")</f>
        <v>-1</v>
      </c>
      <c r="O24" s="147">
        <f>IF('Tav_1.2 Trib-Sez_dist x materia'!P24&gt;0,'Tav_1.2 Trib-Sez_dist x materia'!R24/'Tav_1.2 Trib-Sez_dist x materia'!P24," ")</f>
        <v>2.75</v>
      </c>
      <c r="P24" s="147">
        <f>IF('Tav_1.2 Trib-Sez_dist x materia'!R24&gt;0,'Tav_1.2 Trib-Sez_dist x materia'!R24/('Tav_1.2 Trib-Sez_dist x materia'!O24+'Tav_1.2 Trib-Sez_dist x materia'!P24)," ")</f>
        <v>1</v>
      </c>
      <c r="Q24" s="148">
        <f>IF('Tav_1.2 Trib-Sez_dist x materia'!R24&gt;0,('Tav_1.2 Trib-Sez_dist x materia'!O24+'Tav_1.2 Trib-Sez_dist x materia'!S24)/('Tav_1.2 Trib-Sez_dist x materia'!P24+'Tav_1.2 Trib-Sez_dist x materia'!R24)," ")</f>
        <v>0.4666666666666667</v>
      </c>
    </row>
    <row r="25" spans="1:17" s="58" customFormat="1" ht="15" customHeight="1">
      <c r="A25" s="222" t="s">
        <v>158</v>
      </c>
      <c r="B25" s="147">
        <f>IF('Tav_1.2 Trib-Sez_dist x materia'!B25&gt;0,('Tav_1.2 Trib-Sez_dist x materia'!F25-'Tav_1.2 Trib-Sez_dist x materia'!B25)/'Tav_1.2 Trib-Sez_dist x materia'!B25," ")</f>
        <v>-1</v>
      </c>
      <c r="C25" s="147">
        <f>IF('Tav_1.2 Trib-Sez_dist x materia'!C25&gt;0,'Tav_1.2 Trib-Sez_dist x materia'!E25/'Tav_1.2 Trib-Sez_dist x materia'!C25," ")</f>
        <v>48.285714285714285</v>
      </c>
      <c r="D25" s="147">
        <f>IF('Tav_1.2 Trib-Sez_dist x materia'!E25&gt;0,'Tav_1.2 Trib-Sez_dist x materia'!E25/('Tav_1.2 Trib-Sez_dist x materia'!B25+'Tav_1.2 Trib-Sez_dist x materia'!C25)," ")</f>
        <v>1</v>
      </c>
      <c r="E25" s="148">
        <f>IF('Tav_1.2 Trib-Sez_dist x materia'!E25&gt;0,('Tav_1.2 Trib-Sez_dist x materia'!B25+'Tav_1.2 Trib-Sez_dist x materia'!F25)/('Tav_1.2 Trib-Sez_dist x materia'!C25+'Tav_1.2 Trib-Sez_dist x materia'!E25)," ")</f>
        <v>0.9594202898550724</v>
      </c>
      <c r="F25" s="147">
        <f>IF('Tav_1.2 Trib-Sez_dist x materia'!G25&gt;0,('Tav_1.2 Trib-Sez_dist x materia'!J25-'Tav_1.2 Trib-Sez_dist x materia'!G25)/'Tav_1.2 Trib-Sez_dist x materia'!G25," ")</f>
        <v>-1</v>
      </c>
      <c r="G25" s="147">
        <f>IF('Tav_1.2 Trib-Sez_dist x materia'!H25&gt;0,'Tav_1.2 Trib-Sez_dist x materia'!I25/'Tav_1.2 Trib-Sez_dist x materia'!H25," ")</f>
        <v>38</v>
      </c>
      <c r="H25" s="147">
        <f>IF('Tav_1.2 Trib-Sez_dist x materia'!I25&gt;0,'Tav_1.2 Trib-Sez_dist x materia'!I25/('Tav_1.2 Trib-Sez_dist x materia'!G25+'Tav_1.2 Trib-Sez_dist x materia'!H25)," ")</f>
        <v>1</v>
      </c>
      <c r="I25" s="148">
        <f>IF('Tav_1.2 Trib-Sez_dist x materia'!I25&gt;0,('Tav_1.2 Trib-Sez_dist x materia'!G25+'Tav_1.2 Trib-Sez_dist x materia'!J25)/('Tav_1.2 Trib-Sez_dist x materia'!H25+'Tav_1.2 Trib-Sez_dist x materia'!I25)," ")</f>
        <v>0.9487179487179487</v>
      </c>
      <c r="J25" s="147" t="s">
        <v>458</v>
      </c>
      <c r="K25" s="147" t="s">
        <v>458</v>
      </c>
      <c r="L25" s="147" t="s">
        <v>458</v>
      </c>
      <c r="M25" s="148" t="s">
        <v>458</v>
      </c>
      <c r="N25" s="147">
        <f>IF('Tav_1.2 Trib-Sez_dist x materia'!O25&gt;0,('Tav_1.2 Trib-Sez_dist x materia'!S25-'Tav_1.2 Trib-Sez_dist x materia'!O25)/'Tav_1.2 Trib-Sez_dist x materia'!O25," ")</f>
        <v>-1</v>
      </c>
      <c r="O25" s="147">
        <f>IF('Tav_1.2 Trib-Sez_dist x materia'!P25&gt;0,'Tav_1.2 Trib-Sez_dist x materia'!R25/'Tav_1.2 Trib-Sez_dist x materia'!P25," ")</f>
        <v>3.9545454545454546</v>
      </c>
      <c r="P25" s="147">
        <f>IF('Tav_1.2 Trib-Sez_dist x materia'!R25&gt;0,'Tav_1.2 Trib-Sez_dist x materia'!R25/('Tav_1.2 Trib-Sez_dist x materia'!O25+'Tav_1.2 Trib-Sez_dist x materia'!P25)," ")</f>
        <v>1</v>
      </c>
      <c r="Q25" s="148">
        <f>IF('Tav_1.2 Trib-Sez_dist x materia'!R25&gt;0,('Tav_1.2 Trib-Sez_dist x materia'!O25+'Tav_1.2 Trib-Sez_dist x materia'!S25)/('Tav_1.2 Trib-Sez_dist x materia'!P25+'Tav_1.2 Trib-Sez_dist x materia'!R25)," ")</f>
        <v>0.5963302752293578</v>
      </c>
    </row>
    <row r="26" spans="1:17" s="59" customFormat="1" ht="11.25">
      <c r="A26" s="348" t="s">
        <v>159</v>
      </c>
      <c r="B26" s="349">
        <f>IF('Tav_1.2 Trib-Sez_dist x materia'!B26&gt;0,('Tav_1.2 Trib-Sez_dist x materia'!F26-'Tav_1.2 Trib-Sez_dist x materia'!B26)/'Tav_1.2 Trib-Sez_dist x materia'!B26," ")</f>
        <v>-0.13070121684321107</v>
      </c>
      <c r="C26" s="349">
        <f>IF('Tav_1.2 Trib-Sez_dist x materia'!C26&gt;0,'Tav_1.2 Trib-Sez_dist x materia'!E26/'Tav_1.2 Trib-Sez_dist x materia'!C26," ")</f>
        <v>1.2239052189562087</v>
      </c>
      <c r="D26" s="349">
        <f>IF('Tav_1.2 Trib-Sez_dist x materia'!E26&gt;0,'Tav_1.2 Trib-Sez_dist x materia'!E26/('Tav_1.2 Trib-Sez_dist x materia'!B26+'Tav_1.2 Trib-Sez_dist x materia'!C26)," ")</f>
        <v>0.4511082858880106</v>
      </c>
      <c r="E26" s="350">
        <f>IF('Tav_1.2 Trib-Sez_dist x materia'!E26&gt;0,('Tav_1.2 Trib-Sez_dist x materia'!B26+'Tav_1.2 Trib-Sez_dist x materia'!F26)/('Tav_1.2 Trib-Sez_dist x materia'!C26+'Tav_1.2 Trib-Sez_dist x materia'!E26)," ")</f>
        <v>1.439948749072763</v>
      </c>
      <c r="F26" s="349">
        <f>IF('Tav_1.2 Trib-Sez_dist x materia'!G26&gt;0,('Tav_1.2 Trib-Sez_dist x materia'!J26-'Tav_1.2 Trib-Sez_dist x materia'!G26)/'Tav_1.2 Trib-Sez_dist x materia'!G26," ")</f>
        <v>0.5889255592225889</v>
      </c>
      <c r="G26" s="349">
        <f>IF('Tav_1.2 Trib-Sez_dist x materia'!H26&gt;0,'Tav_1.2 Trib-Sez_dist x materia'!I26/'Tav_1.2 Trib-Sez_dist x materia'!H26," ")</f>
        <v>0.7236276028222337</v>
      </c>
      <c r="H26" s="349">
        <f>IF('Tav_1.2 Trib-Sez_dist x materia'!I26&gt;0,'Tav_1.2 Trib-Sez_dist x materia'!I26/('Tav_1.2 Trib-Sez_dist x materia'!G26+'Tav_1.2 Trib-Sez_dist x materia'!H26)," ")</f>
        <v>0.492504099320684</v>
      </c>
      <c r="I26" s="350">
        <f>IF('Tav_1.2 Trib-Sez_dist x materia'!I26&gt;0,('Tav_1.2 Trib-Sez_dist x materia'!G26+'Tav_1.2 Trib-Sez_dist x materia'!J26)/('Tav_1.2 Trib-Sez_dist x materia'!H26+'Tav_1.2 Trib-Sez_dist x materia'!I26)," ")</f>
        <v>0.7048722044728435</v>
      </c>
      <c r="J26" s="349">
        <f>IF('Tav_1.2 Trib-Sez_dist x materia'!K26&gt;0,('Tav_1.2 Trib-Sez_dist x materia'!N26-'Tav_1.2 Trib-Sez_dist x materia'!K26)/'Tav_1.2 Trib-Sez_dist x materia'!K26," ")</f>
        <v>-0.07197346600331675</v>
      </c>
      <c r="K26" s="349">
        <f>IF('Tav_1.2 Trib-Sez_dist x materia'!L26&gt;0,'Tav_1.2 Trib-Sez_dist x materia'!M26/'Tav_1.2 Trib-Sez_dist x materia'!L26," ")</f>
        <v>1.468682505399568</v>
      </c>
      <c r="L26" s="349">
        <f>IF('Tav_1.2 Trib-Sez_dist x materia'!M26&gt;0,'Tav_1.2 Trib-Sez_dist x materia'!M26/('Tav_1.2 Trib-Sez_dist x materia'!K26+'Tav_1.2 Trib-Sez_dist x materia'!L26)," ")</f>
        <v>0.19551466359977</v>
      </c>
      <c r="M26" s="350">
        <f>IF('Tav_1.2 Trib-Sez_dist x materia'!M26&gt;0,('Tav_1.2 Trib-Sez_dist x materia'!K26+'Tav_1.2 Trib-Sez_dist x materia'!N26)/('Tav_1.2 Trib-Sez_dist x materia'!L26+'Tav_1.2 Trib-Sez_dist x materia'!M26)," ")</f>
        <v>5.085739282589676</v>
      </c>
      <c r="N26" s="349">
        <f>IF('Tav_1.2 Trib-Sez_dist x materia'!O26&gt;0,('Tav_1.2 Trib-Sez_dist x materia'!S26-'Tav_1.2 Trib-Sez_dist x materia'!O26)/'Tav_1.2 Trib-Sez_dist x materia'!O26," ")</f>
        <v>-0.409184372858122</v>
      </c>
      <c r="O26" s="349">
        <f>IF('Tav_1.2 Trib-Sez_dist x materia'!P26&gt;0,'Tav_1.2 Trib-Sez_dist x materia'!R26/'Tav_1.2 Trib-Sez_dist x materia'!P26," ")</f>
        <v>1.139518579107268</v>
      </c>
      <c r="P26" s="349">
        <f>IF('Tav_1.2 Trib-Sez_dist x materia'!R26&gt;0,'Tav_1.2 Trib-Sez_dist x materia'!R26/('Tav_1.2 Trib-Sez_dist x materia'!O26+'Tav_1.2 Trib-Sez_dist x materia'!P26)," ")</f>
        <v>0.8497734402230742</v>
      </c>
      <c r="Q26" s="350">
        <f>IF('Tav_1.2 Trib-Sez_dist x materia'!R26&gt;0,('Tav_1.2 Trib-Sez_dist x materia'!O26+'Tav_1.2 Trib-Sez_dist x materia'!S26)/('Tav_1.2 Trib-Sez_dist x materia'!P26+'Tav_1.2 Trib-Sez_dist x materia'!R26)," ")</f>
        <v>0.2535226652102676</v>
      </c>
    </row>
    <row r="27" spans="1:17" s="59" customFormat="1" ht="14.25" customHeight="1">
      <c r="A27" s="106" t="s">
        <v>5</v>
      </c>
      <c r="B27" s="349">
        <f>IF('Tav_1.2 Trib-Sez_dist x materia'!B27&gt;0,('Tav_1.2 Trib-Sez_dist x materia'!F27-'Tav_1.2 Trib-Sez_dist x materia'!B27)/'Tav_1.2 Trib-Sez_dist x materia'!B27," ")</f>
        <v>0.10095805282237183</v>
      </c>
      <c r="C27" s="349">
        <f>IF('Tav_1.2 Trib-Sez_dist x materia'!C27&gt;0,'Tav_1.2 Trib-Sez_dist x materia'!E27/'Tav_1.2 Trib-Sez_dist x materia'!C27," ")</f>
        <v>0.8298123090353557</v>
      </c>
      <c r="D27" s="349">
        <f>IF('Tav_1.2 Trib-Sez_dist x materia'!E27&gt;0,'Tav_1.2 Trib-Sez_dist x materia'!E27/('Tav_1.2 Trib-Sez_dist x materia'!B27+'Tav_1.2 Trib-Sez_dist x materia'!C27)," ")</f>
        <v>0.30897123354461237</v>
      </c>
      <c r="E27" s="350">
        <f>IF('Tav_1.2 Trib-Sez_dist x materia'!E27&gt;0,('Tav_1.2 Trib-Sez_dist x materia'!B27+'Tav_1.2 Trib-Sez_dist x materia'!F27)/('Tav_1.2 Trib-Sez_dist x materia'!C27+'Tav_1.2 Trib-Sez_dist x materia'!E27)," ")</f>
        <v>1.9355215762982754</v>
      </c>
      <c r="F27" s="349">
        <f>IF('Tav_1.2 Trib-Sez_dist x materia'!G27&gt;0,('Tav_1.2 Trib-Sez_dist x materia'!J27-'Tav_1.2 Trib-Sez_dist x materia'!G27)/'Tav_1.2 Trib-Sez_dist x materia'!G27," ")</f>
        <v>0.2389998498273014</v>
      </c>
      <c r="G27" s="349">
        <f>IF('Tav_1.2 Trib-Sez_dist x materia'!H27&gt;0,'Tav_1.2 Trib-Sez_dist x materia'!I27/'Tav_1.2 Trib-Sez_dist x materia'!H27," ")</f>
        <v>0.8102646638054364</v>
      </c>
      <c r="H27" s="349">
        <f>IF('Tav_1.2 Trib-Sez_dist x materia'!I27&gt;0,'Tav_1.2 Trib-Sez_dist x materia'!I27/('Tav_1.2 Trib-Sez_dist x materia'!G27+'Tav_1.2 Trib-Sez_dist x materia'!H27)," ")</f>
        <v>0.4516847212068851</v>
      </c>
      <c r="I27" s="350">
        <f>IF('Tav_1.2 Trib-Sez_dist x materia'!I27&gt;0,('Tav_1.2 Trib-Sez_dist x materia'!G27+'Tav_1.2 Trib-Sez_dist x materia'!J27)/('Tav_1.2 Trib-Sez_dist x materia'!H27+'Tav_1.2 Trib-Sez_dist x materia'!I27)," ")</f>
        <v>0.9818894267180348</v>
      </c>
      <c r="J27" s="349">
        <f>IF('Tav_1.2 Trib-Sez_dist x materia'!K27&gt;0,('Tav_1.2 Trib-Sez_dist x materia'!N27-'Tav_1.2 Trib-Sez_dist x materia'!K27)/'Tav_1.2 Trib-Sez_dist x materia'!K27," ")</f>
        <v>0.024301777294160318</v>
      </c>
      <c r="K27" s="349">
        <f>IF('Tav_1.2 Trib-Sez_dist x materia'!L27&gt;0,'Tav_1.2 Trib-Sez_dist x materia'!M27/'Tav_1.2 Trib-Sez_dist x materia'!L27," ")</f>
        <v>0.8800572860723237</v>
      </c>
      <c r="L27" s="349">
        <f>IF('Tav_1.2 Trib-Sez_dist x materia'!M27&gt;0,'Tav_1.2 Trib-Sez_dist x materia'!M27/('Tav_1.2 Trib-Sez_dist x materia'!K27+'Tav_1.2 Trib-Sez_dist x materia'!L27)," ")</f>
        <v>0.14826878996260104</v>
      </c>
      <c r="M27" s="350">
        <f>IF('Tav_1.2 Trib-Sez_dist x materia'!M27&gt;0,('Tav_1.2 Trib-Sez_dist x materia'!K27+'Tav_1.2 Trib-Sez_dist x materia'!N27)/('Tav_1.2 Trib-Sez_dist x materia'!L27+'Tav_1.2 Trib-Sez_dist x materia'!M27)," ")</f>
        <v>5.314225861740621</v>
      </c>
      <c r="N27" s="349">
        <f>IF('Tav_1.2 Trib-Sez_dist x materia'!O27&gt;0,('Tav_1.2 Trib-Sez_dist x materia'!S27-'Tav_1.2 Trib-Sez_dist x materia'!O27)/'Tav_1.2 Trib-Sez_dist x materia'!O27," ")</f>
        <v>0.07054971224449295</v>
      </c>
      <c r="O27" s="349">
        <f>IF('Tav_1.2 Trib-Sez_dist x materia'!P27&gt;0,'Tav_1.2 Trib-Sez_dist x materia'!R27/'Tav_1.2 Trib-Sez_dist x materia'!P27," ")</f>
        <v>0.9735982176011883</v>
      </c>
      <c r="P27" s="349">
        <f>IF('Tav_1.2 Trib-Sez_dist x materia'!R27&gt;0,'Tav_1.2 Trib-Sez_dist x materia'!R27/('Tav_1.2 Trib-Sez_dist x materia'!O27+'Tav_1.2 Trib-Sez_dist x materia'!P27)," ")</f>
        <v>0.708468439256377</v>
      </c>
      <c r="Q27" s="350">
        <f>IF('Tav_1.2 Trib-Sez_dist x materia'!R27&gt;0,('Tav_1.2 Trib-Sez_dist x materia'!O27+'Tav_1.2 Trib-Sez_dist x materia'!S27)/('Tav_1.2 Trib-Sez_dist x materia'!P27+'Tav_1.2 Trib-Sez_dist x materia'!R27)," ")</f>
        <v>0.3926132194396884</v>
      </c>
    </row>
    <row r="28" spans="1:18" s="60" customFormat="1" ht="15" customHeight="1">
      <c r="A28" s="97"/>
      <c r="B28" s="110"/>
      <c r="C28" s="110"/>
      <c r="D28" s="110"/>
      <c r="E28" s="110"/>
      <c r="F28" s="110"/>
      <c r="G28" s="110"/>
      <c r="H28" s="84"/>
      <c r="I28" s="84"/>
      <c r="J28" s="85"/>
      <c r="K28" s="85"/>
      <c r="L28" s="85"/>
      <c r="M28" s="85"/>
      <c r="N28" s="111"/>
      <c r="O28" s="111"/>
      <c r="P28" s="111"/>
      <c r="Q28" s="111"/>
      <c r="R28" s="112"/>
    </row>
    <row r="29" spans="1:18" s="60" customFormat="1" ht="33" customHeight="1">
      <c r="A29" s="770" t="s">
        <v>490</v>
      </c>
      <c r="B29" s="771"/>
      <c r="C29" s="771"/>
      <c r="D29" s="771"/>
      <c r="E29" s="771"/>
      <c r="F29" s="771"/>
      <c r="G29" s="771"/>
      <c r="H29" s="771"/>
      <c r="I29" s="771"/>
      <c r="J29" s="771"/>
      <c r="K29" s="771"/>
      <c r="L29" s="771"/>
      <c r="M29" s="771"/>
      <c r="N29" s="771"/>
      <c r="O29" s="771"/>
      <c r="P29" s="771"/>
      <c r="Q29" s="771"/>
      <c r="R29" s="112"/>
    </row>
    <row r="30" spans="1:18" s="60" customFormat="1" ht="15" customHeight="1">
      <c r="A30" s="97"/>
      <c r="B30" s="110"/>
      <c r="C30" s="110"/>
      <c r="D30" s="110"/>
      <c r="E30" s="110"/>
      <c r="F30" s="110"/>
      <c r="G30" s="110"/>
      <c r="H30" s="84"/>
      <c r="I30" s="84"/>
      <c r="J30" s="85"/>
      <c r="K30" s="85"/>
      <c r="L30" s="85"/>
      <c r="M30" s="85"/>
      <c r="N30" s="111"/>
      <c r="O30" s="111"/>
      <c r="P30" s="111"/>
      <c r="Q30" s="111"/>
      <c r="R30" s="112"/>
    </row>
    <row r="31" spans="1:17" s="60" customFormat="1" ht="28.5" customHeight="1">
      <c r="A31" s="738" t="s">
        <v>0</v>
      </c>
      <c r="B31" s="783" t="s">
        <v>16</v>
      </c>
      <c r="C31" s="784"/>
      <c r="D31" s="784"/>
      <c r="E31" s="785"/>
      <c r="F31" s="762" t="s">
        <v>9</v>
      </c>
      <c r="G31" s="777"/>
      <c r="H31" s="777"/>
      <c r="I31" s="778"/>
      <c r="J31" s="762" t="s">
        <v>59</v>
      </c>
      <c r="K31" s="777"/>
      <c r="L31" s="777"/>
      <c r="M31" s="778"/>
      <c r="N31" s="762" t="s">
        <v>60</v>
      </c>
      <c r="O31" s="777"/>
      <c r="P31" s="777"/>
      <c r="Q31" s="778"/>
    </row>
    <row r="32" spans="1:17" s="60" customFormat="1" ht="30.75" customHeight="1">
      <c r="A32" s="752"/>
      <c r="B32" s="145" t="s">
        <v>241</v>
      </c>
      <c r="C32" s="145" t="s">
        <v>223</v>
      </c>
      <c r="D32" s="145" t="s">
        <v>224</v>
      </c>
      <c r="E32" s="146" t="s">
        <v>225</v>
      </c>
      <c r="F32" s="145" t="s">
        <v>241</v>
      </c>
      <c r="G32" s="145" t="s">
        <v>223</v>
      </c>
      <c r="H32" s="145" t="s">
        <v>224</v>
      </c>
      <c r="I32" s="146" t="s">
        <v>225</v>
      </c>
      <c r="J32" s="145" t="s">
        <v>241</v>
      </c>
      <c r="K32" s="145" t="s">
        <v>223</v>
      </c>
      <c r="L32" s="145" t="s">
        <v>224</v>
      </c>
      <c r="M32" s="146" t="s">
        <v>225</v>
      </c>
      <c r="N32" s="145" t="s">
        <v>241</v>
      </c>
      <c r="O32" s="145" t="s">
        <v>223</v>
      </c>
      <c r="P32" s="145" t="s">
        <v>224</v>
      </c>
      <c r="Q32" s="146" t="s">
        <v>225</v>
      </c>
    </row>
    <row r="33" spans="1:17" s="60" customFormat="1" ht="15" customHeight="1">
      <c r="A33" s="104" t="s">
        <v>137</v>
      </c>
      <c r="B33" s="147">
        <f>('Tav_1.2 Trib-Sez_dist x materia'!E34-'Tav_1.2 Trib-Sez_dist x materia'!B34)/'Tav_1.2 Trib-Sez_dist x materia'!B34</f>
        <v>-0.033624454148471615</v>
      </c>
      <c r="C33" s="147">
        <f>IF('Tav_1.2 Trib-Sez_dist x materia'!C34&gt;0,'Tav_1.2 Trib-Sez_dist x materia'!D34/'Tav_1.2 Trib-Sez_dist x materia'!C34," ")</f>
        <v>1.123397435897436</v>
      </c>
      <c r="D33" s="147">
        <f>IF('Tav_1.2 Trib-Sez_dist x materia'!E34&gt;0,'Tav_1.2 Trib-Sez_dist x materia'!E34/('Tav_1.2 Trib-Sez_dist x materia'!B34+'Tav_1.2 Trib-Sez_dist x materia'!C34)," ")</f>
        <v>0.7594371997254633</v>
      </c>
      <c r="E33" s="148">
        <f>('Tav_1.2 Trib-Sez_dist x materia'!B34+'Tav_1.2 Trib-Sez_dist x materia'!E34)/('Tav_1.2 Trib-Sez_dist x materia'!C34+'Tav_1.2 Trib-Sez_dist x materia'!D34)</f>
        <v>3.398490566037736</v>
      </c>
      <c r="F33" s="147">
        <f>IF('Tav_1.2 Trib-Sez_dist x materia'!F34&gt;0,('Tav_1.2 Trib-Sez_dist x materia'!I34-'Tav_1.2 Trib-Sez_dist x materia'!F34)/'Tav_1.2 Trib-Sez_dist x materia'!F34," ")</f>
        <v>-0.14089499335400973</v>
      </c>
      <c r="G33" s="147">
        <f>IF('Tav_1.2 Trib-Sez_dist x materia'!G34&gt;0,'Tav_1.2 Trib-Sez_dist x materia'!H34/'Tav_1.2 Trib-Sez_dist x materia'!G34," ")</f>
        <v>1.6</v>
      </c>
      <c r="H33" s="147">
        <f>IF('Tav_1.2 Trib-Sez_dist x materia'!H34&gt;0,'Tav_1.2 Trib-Sez_dist x materia'!H34/('Tav_1.2 Trib-Sez_dist x materia'!F34+'Tav_1.2 Trib-Sez_dist x materia'!G34)," ")</f>
        <v>0.30426982418371007</v>
      </c>
      <c r="I33" s="148">
        <f>IF('Tav_1.2 Trib-Sez_dist x materia'!H34&gt;0,('Tav_1.2 Trib-Sez_dist x materia'!F34+'Tav_1.2 Trib-Sez_dist x materia'!I34)/('Tav_1.2 Trib-Sez_dist x materia'!G34+'Tav_1.2 Trib-Sez_dist x materia'!H34)," ")</f>
        <v>3.0449927431059507</v>
      </c>
      <c r="J33" s="147">
        <f>IF('Tav_1.2 Trib-Sez_dist x materia'!J34&gt;0,('Tav_1.2 Trib-Sez_dist x materia'!M34-'Tav_1.2 Trib-Sez_dist x materia'!J34)/'Tav_1.2 Trib-Sez_dist x materia'!J34," ")</f>
        <v>0.13333333333333333</v>
      </c>
      <c r="K33" s="147">
        <f>IF('Tav_1.2 Trib-Sez_dist x materia'!K34&gt;0,'Tav_1.2 Trib-Sez_dist x materia'!L34/'Tav_1.2 Trib-Sez_dist x materia'!K34," ")</f>
        <v>0.86</v>
      </c>
      <c r="L33" s="147">
        <f>IF('Tav_1.2 Trib-Sez_dist x materia'!L34&gt;0,'Tav_1.2 Trib-Sez_dist x materia'!L34/('Tav_1.2 Trib-Sez_dist x materia'!J34+'Tav_1.2 Trib-Sez_dist x materia'!K34)," ")</f>
        <v>0.4195121951219512</v>
      </c>
      <c r="M33" s="148">
        <f>IF('Tav_1.2 Trib-Sez_dist x materia'!L34&gt;0,('Tav_1.2 Trib-Sez_dist x materia'!J34+'Tav_1.2 Trib-Sez_dist x materia'!M34)/('Tav_1.2 Trib-Sez_dist x materia'!K34+'Tav_1.2 Trib-Sez_dist x materia'!L34)," ")</f>
        <v>1.2043010752688172</v>
      </c>
      <c r="N33" s="147">
        <f>IF('Tav_1.2 Trib-Sez_dist x materia'!N34&gt;0,('Tav_1.2 Trib-Sez_dist x materia'!S34-'Tav_1.2 Trib-Sez_dist x materia'!N34)/'Tav_1.2 Trib-Sez_dist x materia'!N34," ")</f>
        <v>-1</v>
      </c>
      <c r="O33" s="147">
        <f>IF('Tav_1.2 Trib-Sez_dist x materia'!O34&gt;0,'Tav_1.2 Trib-Sez_dist x materia'!P34/'Tav_1.2 Trib-Sez_dist x materia'!O34," ")</f>
        <v>1.1896551724137931</v>
      </c>
      <c r="P33" s="147">
        <f>IF('Tav_1.2 Trib-Sez_dist x materia'!Q34&gt;0,'Tav_1.2 Trib-Sez_dist x materia'!Q34/('Tav_1.2 Trib-Sez_dist x materia'!N34+'Tav_1.2 Trib-Sez_dist x materia'!O34)," ")</f>
        <v>0.5241379310344828</v>
      </c>
      <c r="Q33" s="148">
        <f>IF('Tav_1.2 Trib-Sez_dist x materia'!Q34&gt;0,('Tav_1.2 Trib-Sez_dist x materia'!N34+'Tav_1.2 Trib-Sez_dist x materia'!S34)/('Tav_1.2 Trib-Sez_dist x materia'!O34+'Tav_1.2 Trib-Sez_dist x materia'!Q34)," ")</f>
        <v>0.6492537313432836</v>
      </c>
    </row>
    <row r="34" spans="1:17" s="60" customFormat="1" ht="11.25">
      <c r="A34" s="113" t="s">
        <v>139</v>
      </c>
      <c r="B34" s="147">
        <f>('Tav_1.2 Trib-Sez_dist x materia'!E35-'Tav_1.2 Trib-Sez_dist x materia'!B35)/'Tav_1.2 Trib-Sez_dist x materia'!B35</f>
        <v>0.06491063029162747</v>
      </c>
      <c r="C34" s="147">
        <f>IF('Tav_1.2 Trib-Sez_dist x materia'!C35&gt;0,'Tav_1.2 Trib-Sez_dist x materia'!D35/'Tav_1.2 Trib-Sez_dist x materia'!C35," ")</f>
        <v>0.7544483985765125</v>
      </c>
      <c r="D34" s="147">
        <f>IF('Tav_1.2 Trib-Sez_dist x materia'!E35&gt;0,'Tav_1.2 Trib-Sez_dist x materia'!E35/('Tav_1.2 Trib-Sez_dist x materia'!B35+'Tav_1.2 Trib-Sez_dist x materia'!C35)," ")</f>
        <v>0.8422619047619048</v>
      </c>
      <c r="E34" s="148">
        <f>('Tav_1.2 Trib-Sez_dist x materia'!B35+'Tav_1.2 Trib-Sez_dist x materia'!E35)/('Tav_1.2 Trib-Sez_dist x materia'!C35+'Tav_1.2 Trib-Sez_dist x materia'!D35)</f>
        <v>4.452332657200811</v>
      </c>
      <c r="F34" s="147">
        <f>IF('Tav_1.2 Trib-Sez_dist x materia'!F35&gt;0,('Tav_1.2 Trib-Sez_dist x materia'!I35-'Tav_1.2 Trib-Sez_dist x materia'!F35)/'Tav_1.2 Trib-Sez_dist x materia'!F35," ")</f>
        <v>0.35162731333758773</v>
      </c>
      <c r="G34" s="147">
        <f>IF('Tav_1.2 Trib-Sez_dist x materia'!G35&gt;0,'Tav_1.2 Trib-Sez_dist x materia'!H35/'Tav_1.2 Trib-Sez_dist x materia'!G35," ")</f>
        <v>0.4666021297192643</v>
      </c>
      <c r="H34" s="147">
        <f>IF('Tav_1.2 Trib-Sez_dist x materia'!H35&gt;0,'Tav_1.2 Trib-Sez_dist x materia'!H35/('Tav_1.2 Trib-Sez_dist x materia'!F35+'Tav_1.2 Trib-Sez_dist x materia'!G35)," ")</f>
        <v>0.1853846153846154</v>
      </c>
      <c r="I34" s="148">
        <f>IF('Tav_1.2 Trib-Sez_dist x materia'!H35&gt;0,('Tav_1.2 Trib-Sez_dist x materia'!F35+'Tav_1.2 Trib-Sez_dist x materia'!I35)/('Tav_1.2 Trib-Sez_dist x materia'!G35+'Tav_1.2 Trib-Sez_dist x materia'!H35)," ")</f>
        <v>2.432343234323432</v>
      </c>
      <c r="J34" s="147">
        <f>IF('Tav_1.2 Trib-Sez_dist x materia'!J35&gt;0,('Tav_1.2 Trib-Sez_dist x materia'!M35-'Tav_1.2 Trib-Sez_dist x materia'!J35)/'Tav_1.2 Trib-Sez_dist x materia'!J35," ")</f>
        <v>0.08108108108108109</v>
      </c>
      <c r="K34" s="147">
        <f>IF('Tav_1.2 Trib-Sez_dist x materia'!K35&gt;0,'Tav_1.2 Trib-Sez_dist x materia'!L35/'Tav_1.2 Trib-Sez_dist x materia'!K35," ")</f>
        <v>0.8888888888888888</v>
      </c>
      <c r="L34" s="147">
        <f>IF('Tav_1.2 Trib-Sez_dist x materia'!L35&gt;0,'Tav_1.2 Trib-Sez_dist x materia'!L35/('Tav_1.2 Trib-Sez_dist x materia'!J35+'Tav_1.2 Trib-Sez_dist x materia'!K35)," ")</f>
        <v>0.375</v>
      </c>
      <c r="M34" s="148">
        <f>IF('Tav_1.2 Trib-Sez_dist x materia'!L35&gt;0,('Tav_1.2 Trib-Sez_dist x materia'!J35+'Tav_1.2 Trib-Sez_dist x materia'!M35)/('Tav_1.2 Trib-Sez_dist x materia'!K35+'Tav_1.2 Trib-Sez_dist x materia'!L35)," ")</f>
        <v>1.5098039215686274</v>
      </c>
      <c r="N34" s="147">
        <f>IF('Tav_1.2 Trib-Sez_dist x materia'!N35&gt;0,('Tav_1.2 Trib-Sez_dist x materia'!S35-'Tav_1.2 Trib-Sez_dist x materia'!N35)/'Tav_1.2 Trib-Sez_dist x materia'!N35," ")</f>
        <v>-1</v>
      </c>
      <c r="O34" s="147">
        <f>IF('Tav_1.2 Trib-Sez_dist x materia'!O35&gt;0,'Tav_1.2 Trib-Sez_dist x materia'!P35/'Tav_1.2 Trib-Sez_dist x materia'!O35," ")</f>
        <v>0.6476190476190476</v>
      </c>
      <c r="P34" s="147">
        <f>IF('Tav_1.2 Trib-Sez_dist x materia'!Q35&gt;0,'Tav_1.2 Trib-Sez_dist x materia'!Q35/('Tav_1.2 Trib-Sez_dist x materia'!N35+'Tav_1.2 Trib-Sez_dist x materia'!O35)," ")</f>
        <v>0.6964285714285714</v>
      </c>
      <c r="Q34" s="148">
        <f>IF('Tav_1.2 Trib-Sez_dist x materia'!Q35&gt;0,('Tav_1.2 Trib-Sez_dist x materia'!N35+'Tav_1.2 Trib-Sez_dist x materia'!S35)/('Tav_1.2 Trib-Sez_dist x materia'!O35+'Tav_1.2 Trib-Sez_dist x materia'!Q35)," ")</f>
        <v>0.4559386973180077</v>
      </c>
    </row>
    <row r="35" spans="1:17" ht="11.25">
      <c r="A35" s="113" t="s">
        <v>142</v>
      </c>
      <c r="B35" s="147">
        <f>('Tav_1.2 Trib-Sez_dist x materia'!E36-'Tav_1.2 Trib-Sez_dist x materia'!B36)/'Tav_1.2 Trib-Sez_dist x materia'!B36</f>
        <v>0.04215222141296431</v>
      </c>
      <c r="C35" s="147">
        <f>IF('Tav_1.2 Trib-Sez_dist x materia'!C36&gt;0,'Tav_1.2 Trib-Sez_dist x materia'!D36/'Tav_1.2 Trib-Sez_dist x materia'!C36," ")</f>
        <v>0.8254147812971342</v>
      </c>
      <c r="D35" s="147">
        <f>IF('Tav_1.2 Trib-Sez_dist x materia'!E36&gt;0,'Tav_1.2 Trib-Sez_dist x materia'!E36/('Tav_1.2 Trib-Sez_dist x materia'!B36+'Tav_1.2 Trib-Sez_dist x materia'!C36)," ")</f>
        <v>0.8394690525080669</v>
      </c>
      <c r="E35" s="148">
        <f>('Tav_1.2 Trib-Sez_dist x materia'!B36+'Tav_1.2 Trib-Sez_dist x materia'!E36)/('Tav_1.2 Trib-Sez_dist x materia'!C36+'Tav_1.2 Trib-Sez_dist x materia'!D36)</f>
        <v>4.633546787853749</v>
      </c>
      <c r="F35" s="147">
        <f>IF('Tav_1.2 Trib-Sez_dist x materia'!F36&gt;0,('Tav_1.2 Trib-Sez_dist x materia'!I36-'Tav_1.2 Trib-Sez_dist x materia'!F36)/'Tav_1.2 Trib-Sez_dist x materia'!F36," ")</f>
        <v>-0.1369928782907898</v>
      </c>
      <c r="G35" s="147">
        <f>IF('Tav_1.2 Trib-Sez_dist x materia'!G36&gt;0,'Tav_1.2 Trib-Sez_dist x materia'!H36/'Tav_1.2 Trib-Sez_dist x materia'!G36," ")</f>
        <v>1.9120937666489077</v>
      </c>
      <c r="H35" s="147">
        <f>IF('Tav_1.2 Trib-Sez_dist x materia'!H36&gt;0,'Tav_1.2 Trib-Sez_dist x materia'!H36/('Tav_1.2 Trib-Sez_dist x materia'!F36+'Tav_1.2 Trib-Sez_dist x materia'!G36)," ")</f>
        <v>0.2496869347432865</v>
      </c>
      <c r="I35" s="148">
        <f>IF('Tav_1.2 Trib-Sez_dist x materia'!H36&gt;0,('Tav_1.2 Trib-Sez_dist x materia'!F36+'Tav_1.2 Trib-Sez_dist x materia'!I36)/('Tav_1.2 Trib-Sez_dist x materia'!G36+'Tav_1.2 Trib-Sez_dist x materia'!H36)," ")</f>
        <v>4.25942188071716</v>
      </c>
      <c r="J35" s="147">
        <f>IF('Tav_1.2 Trib-Sez_dist x materia'!J36&gt;0,('Tav_1.2 Trib-Sez_dist x materia'!M36-'Tav_1.2 Trib-Sez_dist x materia'!J36)/'Tav_1.2 Trib-Sez_dist x materia'!J36," ")</f>
        <v>0.21725965177895534</v>
      </c>
      <c r="K35" s="147">
        <f>IF('Tav_1.2 Trib-Sez_dist x materia'!K36&gt;0,'Tav_1.2 Trib-Sez_dist x materia'!L36/'Tav_1.2 Trib-Sez_dist x materia'!K36," ")</f>
        <v>0.7780355761794276</v>
      </c>
      <c r="L35" s="147">
        <f>IF('Tav_1.2 Trib-Sez_dist x materia'!L36&gt;0,'Tav_1.2 Trib-Sez_dist x materia'!L36/('Tav_1.2 Trib-Sez_dist x materia'!J36+'Tav_1.2 Trib-Sez_dist x materia'!K36)," ")</f>
        <v>0.38485080336648814</v>
      </c>
      <c r="M35" s="148">
        <f>IF('Tav_1.2 Trib-Sez_dist x materia'!L36&gt;0,('Tav_1.2 Trib-Sez_dist x materia'!J36+'Tav_1.2 Trib-Sez_dist x materia'!M36)/('Tav_1.2 Trib-Sez_dist x materia'!K36+'Tav_1.2 Trib-Sez_dist x materia'!L36)," ")</f>
        <v>1.274032187907786</v>
      </c>
      <c r="N35" s="147">
        <f>IF('Tav_1.2 Trib-Sez_dist x materia'!N36&gt;0,('Tav_1.2 Trib-Sez_dist x materia'!S36-'Tav_1.2 Trib-Sez_dist x materia'!N36)/'Tav_1.2 Trib-Sez_dist x materia'!N36," ")</f>
        <v>-1</v>
      </c>
      <c r="O35" s="147">
        <f>IF('Tav_1.2 Trib-Sez_dist x materia'!O36&gt;0,'Tav_1.2 Trib-Sez_dist x materia'!P36/'Tav_1.2 Trib-Sez_dist x materia'!O36," ")</f>
        <v>0.9160714285714285</v>
      </c>
      <c r="P35" s="147">
        <f>IF('Tav_1.2 Trib-Sez_dist x materia'!Q36&gt;0,'Tav_1.2 Trib-Sez_dist x materia'!Q36/('Tav_1.2 Trib-Sez_dist x materia'!N36+'Tav_1.2 Trib-Sez_dist x materia'!O36)," ")</f>
        <v>0.548614166300044</v>
      </c>
      <c r="Q35" s="148">
        <f>IF('Tav_1.2 Trib-Sez_dist x materia'!Q36&gt;0,('Tav_1.2 Trib-Sez_dist x materia'!N36+'Tav_1.2 Trib-Sez_dist x materia'!S36)/('Tav_1.2 Trib-Sez_dist x materia'!O36+'Tav_1.2 Trib-Sez_dist x materia'!Q36)," ")</f>
        <v>0.4871144909167723</v>
      </c>
    </row>
    <row r="36" spans="1:17" ht="11.25">
      <c r="A36" s="570" t="s">
        <v>466</v>
      </c>
      <c r="B36" s="147">
        <f>('Tav_1.2 Trib-Sez_dist x materia'!E37-'Tav_1.2 Trib-Sez_dist x materia'!B37)/'Tav_1.2 Trib-Sez_dist x materia'!B37</f>
        <v>-0.15952143569292124</v>
      </c>
      <c r="C36" s="147">
        <f>IF('Tav_1.2 Trib-Sez_dist x materia'!C37&gt;0,'Tav_1.2 Trib-Sez_dist x materia'!D37/'Tav_1.2 Trib-Sez_dist x materia'!C37," ")</f>
        <v>3.6666666666666665</v>
      </c>
      <c r="D36" s="147">
        <f>IF('Tav_1.2 Trib-Sez_dist x materia'!E37&gt;0,'Tav_1.2 Trib-Sez_dist x materia'!E37/('Tav_1.2 Trib-Sez_dist x materia'!B37+'Tav_1.2 Trib-Sez_dist x materia'!C37)," ")</f>
        <v>0.793038570084666</v>
      </c>
      <c r="E36" s="148">
        <f>('Tav_1.2 Trib-Sez_dist x materia'!B37+'Tav_1.2 Trib-Sez_dist x materia'!E37)/('Tav_1.2 Trib-Sez_dist x materia'!C37+'Tav_1.2 Trib-Sez_dist x materia'!D37)</f>
        <v>6.5928571428571425</v>
      </c>
      <c r="F36" s="147">
        <f>IF('Tav_1.2 Trib-Sez_dist x materia'!F37&gt;0,('Tav_1.2 Trib-Sez_dist x materia'!I37-'Tav_1.2 Trib-Sez_dist x materia'!F37)/'Tav_1.2 Trib-Sez_dist x materia'!F37," ")</f>
        <v>-0.2923728813559322</v>
      </c>
      <c r="G36" s="147">
        <f>IF('Tav_1.2 Trib-Sez_dist x materia'!G37&gt;0,'Tav_1.2 Trib-Sez_dist x materia'!H37/'Tav_1.2 Trib-Sez_dist x materia'!G37," ")</f>
        <v>2.289719626168224</v>
      </c>
      <c r="H36" s="147">
        <f>IF('Tav_1.2 Trib-Sez_dist x materia'!H37&gt;0,'Tav_1.2 Trib-Sez_dist x materia'!H37/('Tav_1.2 Trib-Sez_dist x materia'!F37+'Tav_1.2 Trib-Sez_dist x materia'!G37)," ")</f>
        <v>0.4231433506044905</v>
      </c>
      <c r="I36" s="148">
        <f>IF('Tav_1.2 Trib-Sez_dist x materia'!H37&gt;0,('Tav_1.2 Trib-Sez_dist x materia'!F37+'Tav_1.2 Trib-Sez_dist x materia'!I37)/('Tav_1.2 Trib-Sez_dist x materia'!G37+'Tav_1.2 Trib-Sez_dist x materia'!H37)," ")</f>
        <v>2.289772727272727</v>
      </c>
      <c r="J36" s="147">
        <f>IF('Tav_1.2 Trib-Sez_dist x materia'!J37&gt;0,('Tav_1.2 Trib-Sez_dist x materia'!M37-'Tav_1.2 Trib-Sez_dist x materia'!J37)/'Tav_1.2 Trib-Sez_dist x materia'!J37," ")</f>
        <v>-0.4057142857142857</v>
      </c>
      <c r="K36" s="147">
        <f>IF('Tav_1.2 Trib-Sez_dist x materia'!K37&gt;0,'Tav_1.2 Trib-Sez_dist x materia'!L37/'Tav_1.2 Trib-Sez_dist x materia'!K37," ")</f>
        <v>3.9583333333333335</v>
      </c>
      <c r="L36" s="147">
        <f>IF('Tav_1.2 Trib-Sez_dist x materia'!L37&gt;0,'Tav_1.2 Trib-Sez_dist x materia'!L37/('Tav_1.2 Trib-Sez_dist x materia'!J37+'Tav_1.2 Trib-Sez_dist x materia'!K37)," ")</f>
        <v>0.47738693467336685</v>
      </c>
      <c r="M36" s="148">
        <f>IF('Tav_1.2 Trib-Sez_dist x materia'!L37&gt;0,('Tav_1.2 Trib-Sez_dist x materia'!J37+'Tav_1.2 Trib-Sez_dist x materia'!M37)/('Tav_1.2 Trib-Sez_dist x materia'!K37+'Tav_1.2 Trib-Sez_dist x materia'!L37)," ")</f>
        <v>2.3445378151260505</v>
      </c>
      <c r="N36" s="147">
        <f>IF('Tav_1.2 Trib-Sez_dist x materia'!N37&gt;0,('Tav_1.2 Trib-Sez_dist x materia'!S37-'Tav_1.2 Trib-Sez_dist x materia'!N37)/'Tav_1.2 Trib-Sez_dist x materia'!N37," ")</f>
        <v>-1</v>
      </c>
      <c r="O36" s="147">
        <f>IF('Tav_1.2 Trib-Sez_dist x materia'!O37&gt;0,'Tav_1.2 Trib-Sez_dist x materia'!P37/'Tav_1.2 Trib-Sez_dist x materia'!O37," ")</f>
        <v>11.666666666666666</v>
      </c>
      <c r="P36" s="147">
        <f>IF('Tav_1.2 Trib-Sez_dist x materia'!Q37&gt;0,'Tav_1.2 Trib-Sez_dist x materia'!Q37/('Tav_1.2 Trib-Sez_dist x materia'!N37+'Tav_1.2 Trib-Sez_dist x materia'!O37)," ")</f>
        <v>0.453125</v>
      </c>
      <c r="Q36" s="148">
        <f>IF('Tav_1.2 Trib-Sez_dist x materia'!Q37&gt;0,('Tav_1.2 Trib-Sez_dist x materia'!N37+'Tav_1.2 Trib-Sez_dist x materia'!S37)/('Tav_1.2 Trib-Sez_dist x materia'!O37+'Tav_1.2 Trib-Sez_dist x materia'!Q37)," ")</f>
        <v>1.90625</v>
      </c>
    </row>
    <row r="37" spans="1:17" ht="11.25">
      <c r="A37" s="114" t="s">
        <v>152</v>
      </c>
      <c r="B37" s="147">
        <f>('Tav_1.2 Trib-Sez_dist x materia'!E38-'Tav_1.2 Trib-Sez_dist x materia'!B38)/'Tav_1.2 Trib-Sez_dist x materia'!B38</f>
        <v>0.03678929765886288</v>
      </c>
      <c r="C37" s="147">
        <f>IF('Tav_1.2 Trib-Sez_dist x materia'!C38&gt;0,'Tav_1.2 Trib-Sez_dist x materia'!D38/'Tav_1.2 Trib-Sez_dist x materia'!C38," ")</f>
        <v>0.8892086330935252</v>
      </c>
      <c r="D37" s="147">
        <f>IF('Tav_1.2 Trib-Sez_dist x materia'!E38&gt;0,'Tav_1.2 Trib-Sez_dist x materia'!E38/('Tav_1.2 Trib-Sez_dist x materia'!B38+'Tav_1.2 Trib-Sez_dist x materia'!C38)," ")</f>
        <v>0.7783357245337159</v>
      </c>
      <c r="E37" s="148">
        <f>('Tav_1.2 Trib-Sez_dist x materia'!B38+'Tav_1.2 Trib-Sez_dist x materia'!E38)/('Tav_1.2 Trib-Sez_dist x materia'!C38+'Tav_1.2 Trib-Sez_dist x materia'!D38)</f>
        <v>3.2467631378522466</v>
      </c>
      <c r="F37" s="147">
        <f>IF('Tav_1.2 Trib-Sez_dist x materia'!F38&gt;0,('Tav_1.2 Trib-Sez_dist x materia'!I38-'Tav_1.2 Trib-Sez_dist x materia'!F38)/'Tav_1.2 Trib-Sez_dist x materia'!F38," ")</f>
        <v>-0.005389514943655071</v>
      </c>
      <c r="G37" s="147">
        <f>IF('Tav_1.2 Trib-Sez_dist x materia'!G38&gt;0,'Tav_1.2 Trib-Sez_dist x materia'!H38/'Tav_1.2 Trib-Sez_dist x materia'!G38," ")</f>
        <v>1.0151933701657458</v>
      </c>
      <c r="H37" s="147">
        <f>IF('Tav_1.2 Trib-Sez_dist x materia'!H38&gt;0,'Tav_1.2 Trib-Sez_dist x materia'!H38/('Tav_1.2 Trib-Sez_dist x materia'!F38+'Tav_1.2 Trib-Sez_dist x materia'!G38)," ")</f>
        <v>0.26582278481012656</v>
      </c>
      <c r="I37" s="148">
        <f>IF('Tav_1.2 Trib-Sez_dist x materia'!H38&gt;0,('Tav_1.2 Trib-Sez_dist x materia'!F38+'Tav_1.2 Trib-Sez_dist x materia'!I38)/('Tav_1.2 Trib-Sez_dist x materia'!G38+'Tav_1.2 Trib-Sez_dist x materia'!H38)," ")</f>
        <v>2.7902673063742287</v>
      </c>
      <c r="J37" s="147">
        <f>IF('Tav_1.2 Trib-Sez_dist x materia'!J38&gt;0,('Tav_1.2 Trib-Sez_dist x materia'!M38-'Tav_1.2 Trib-Sez_dist x materia'!J38)/'Tav_1.2 Trib-Sez_dist x materia'!J38," ")</f>
        <v>0.27611940298507465</v>
      </c>
      <c r="K37" s="147">
        <f>IF('Tav_1.2 Trib-Sez_dist x materia'!K38&gt;0,'Tav_1.2 Trib-Sez_dist x materia'!L38/'Tav_1.2 Trib-Sez_dist x materia'!K38," ")</f>
        <v>0.7471526195899773</v>
      </c>
      <c r="L37" s="147">
        <f>IF('Tav_1.2 Trib-Sez_dist x materia'!L38&gt;0,'Tav_1.2 Trib-Sez_dist x materia'!L38/('Tav_1.2 Trib-Sez_dist x materia'!J38+'Tav_1.2 Trib-Sez_dist x materia'!K38)," ")</f>
        <v>0.39001189060642094</v>
      </c>
      <c r="M37" s="148">
        <f>IF('Tav_1.2 Trib-Sez_dist x materia'!L38&gt;0,('Tav_1.2 Trib-Sez_dist x materia'!J38+'Tav_1.2 Trib-Sez_dist x materia'!M38)/('Tav_1.2 Trib-Sez_dist x materia'!K38+'Tav_1.2 Trib-Sez_dist x materia'!L38)," ")</f>
        <v>1.1929595827900912</v>
      </c>
      <c r="N37" s="147">
        <f>IF('Tav_1.2 Trib-Sez_dist x materia'!N38&gt;0,('Tav_1.2 Trib-Sez_dist x materia'!S38-'Tav_1.2 Trib-Sez_dist x materia'!N38)/'Tav_1.2 Trib-Sez_dist x materia'!N38," ")</f>
        <v>-1</v>
      </c>
      <c r="O37" s="147">
        <f>IF('Tav_1.2 Trib-Sez_dist x materia'!O38&gt;0,'Tav_1.2 Trib-Sez_dist x materia'!P38/'Tav_1.2 Trib-Sez_dist x materia'!O38," ")</f>
        <v>0.6916299559471366</v>
      </c>
      <c r="P37" s="147">
        <f>IF('Tav_1.2 Trib-Sez_dist x materia'!Q38&gt;0,'Tav_1.2 Trib-Sez_dist x materia'!Q38/('Tav_1.2 Trib-Sez_dist x materia'!N38+'Tav_1.2 Trib-Sez_dist x materia'!O38)," ")</f>
        <v>0.6084788029925187</v>
      </c>
      <c r="Q37" s="148">
        <f>IF('Tav_1.2 Trib-Sez_dist x materia'!Q38&gt;0,('Tav_1.2 Trib-Sez_dist x materia'!N38+'Tav_1.2 Trib-Sez_dist x materia'!S38)/('Tav_1.2 Trib-Sez_dist x materia'!O38+'Tav_1.2 Trib-Sez_dist x materia'!Q38)," ")</f>
        <v>0.36942675159235666</v>
      </c>
    </row>
    <row r="38" spans="1:17" ht="11.25">
      <c r="A38" s="114" t="s">
        <v>155</v>
      </c>
      <c r="B38" s="147">
        <f>('Tav_1.2 Trib-Sez_dist x materia'!E39-'Tav_1.2 Trib-Sez_dist x materia'!B39)/'Tav_1.2 Trib-Sez_dist x materia'!B39</f>
        <v>0.0568685376661743</v>
      </c>
      <c r="C38" s="147">
        <f>IF('Tav_1.2 Trib-Sez_dist x materia'!C39&gt;0,'Tav_1.2 Trib-Sez_dist x materia'!D39/'Tav_1.2 Trib-Sez_dist x materia'!C39," ")</f>
        <v>0.8377239199157007</v>
      </c>
      <c r="D38" s="147">
        <f>IF('Tav_1.2 Trib-Sez_dist x materia'!E39&gt;0,'Tav_1.2 Trib-Sez_dist x materia'!E39/('Tav_1.2 Trib-Sez_dist x materia'!B39+'Tav_1.2 Trib-Sez_dist x materia'!C39)," ")</f>
        <v>0.782608695652174</v>
      </c>
      <c r="E38" s="148">
        <f>('Tav_1.2 Trib-Sez_dist x materia'!B39+'Tav_1.2 Trib-Sez_dist x materia'!E39)/('Tav_1.2 Trib-Sez_dist x materia'!C39+'Tav_1.2 Trib-Sez_dist x materia'!D39)</f>
        <v>3.1938073394495414</v>
      </c>
      <c r="F38" s="147">
        <f>IF('Tav_1.2 Trib-Sez_dist x materia'!F39&gt;0,('Tav_1.2 Trib-Sez_dist x materia'!I39-'Tav_1.2 Trib-Sez_dist x materia'!F39)/'Tav_1.2 Trib-Sez_dist x materia'!F39," ")</f>
        <v>0.11779141104294479</v>
      </c>
      <c r="G38" s="147">
        <f>IF('Tav_1.2 Trib-Sez_dist x materia'!G39&gt;0,'Tav_1.2 Trib-Sez_dist x materia'!H39/'Tav_1.2 Trib-Sez_dist x materia'!G39," ")</f>
        <v>0.8725945587259456</v>
      </c>
      <c r="H38" s="147">
        <f>IF('Tav_1.2 Trib-Sez_dist x materia'!H39&gt;0,'Tav_1.2 Trib-Sez_dist x materia'!H39/('Tav_1.2 Trib-Sez_dist x materia'!F39+'Tav_1.2 Trib-Sez_dist x materia'!G39)," ")</f>
        <v>0.4191903092126235</v>
      </c>
      <c r="I38" s="148">
        <f>IF('Tav_1.2 Trib-Sez_dist x materia'!H39&gt;0,('Tav_1.2 Trib-Sez_dist x materia'!F39+'Tav_1.2 Trib-Sez_dist x materia'!I39)/('Tav_1.2 Trib-Sez_dist x materia'!G39+'Tav_1.2 Trib-Sez_dist x materia'!H39)," ")</f>
        <v>1.2232459248759744</v>
      </c>
      <c r="J38" s="147">
        <f>IF('Tav_1.2 Trib-Sez_dist x materia'!J39&gt;0,('Tav_1.2 Trib-Sez_dist x materia'!M39-'Tav_1.2 Trib-Sez_dist x materia'!J39)/'Tav_1.2 Trib-Sez_dist x materia'!J39," ")</f>
        <v>-0.16600159616919394</v>
      </c>
      <c r="K38" s="147">
        <f>IF('Tav_1.2 Trib-Sez_dist x materia'!K39&gt;0,'Tav_1.2 Trib-Sez_dist x materia'!L39/'Tav_1.2 Trib-Sez_dist x materia'!K39," ")</f>
        <v>1.2331838565022422</v>
      </c>
      <c r="L38" s="147">
        <f>IF('Tav_1.2 Trib-Sez_dist x materia'!L39&gt;0,'Tav_1.2 Trib-Sez_dist x materia'!L39/('Tav_1.2 Trib-Sez_dist x materia'!J39+'Tav_1.2 Trib-Sez_dist x materia'!K39)," ")</f>
        <v>0.5128205128205128</v>
      </c>
      <c r="M38" s="148">
        <f>IF('Tav_1.2 Trib-Sez_dist x materia'!L39&gt;0,('Tav_1.2 Trib-Sez_dist x materia'!J39+'Tav_1.2 Trib-Sez_dist x materia'!M39)/('Tav_1.2 Trib-Sez_dist x materia'!K39+'Tav_1.2 Trib-Sez_dist x materia'!L39)," ")</f>
        <v>1.1536144578313252</v>
      </c>
      <c r="N38" s="147">
        <f>IF('Tav_1.2 Trib-Sez_dist x materia'!N39&gt;0,('Tav_1.2 Trib-Sez_dist x materia'!S39-'Tav_1.2 Trib-Sez_dist x materia'!N39)/'Tav_1.2 Trib-Sez_dist x materia'!N39," ")</f>
        <v>-1</v>
      </c>
      <c r="O38" s="147">
        <f>IF('Tav_1.2 Trib-Sez_dist x materia'!O39&gt;0,'Tav_1.2 Trib-Sez_dist x materia'!P39/'Tav_1.2 Trib-Sez_dist x materia'!O39," ")</f>
        <v>1.0376470588235294</v>
      </c>
      <c r="P38" s="147">
        <f>IF('Tav_1.2 Trib-Sez_dist x materia'!Q39&gt;0,'Tav_1.2 Trib-Sez_dist x materia'!Q39/('Tav_1.2 Trib-Sez_dist x materia'!N39+'Tav_1.2 Trib-Sez_dist x materia'!O39)," ")</f>
        <v>0.5554435483870968</v>
      </c>
      <c r="Q38" s="148">
        <f>IF('Tav_1.2 Trib-Sez_dist x materia'!Q39&gt;0,('Tav_1.2 Trib-Sez_dist x materia'!N39+'Tav_1.2 Trib-Sez_dist x materia'!S39)/('Tav_1.2 Trib-Sez_dist x materia'!O39+'Tav_1.2 Trib-Sez_dist x materia'!Q39)," ")</f>
        <v>0.5809426229508197</v>
      </c>
    </row>
    <row r="39" spans="1:17" ht="11.25">
      <c r="A39" s="103" t="s">
        <v>227</v>
      </c>
      <c r="B39" s="147">
        <f>('Tav_1.2 Trib-Sez_dist x materia'!E40-'Tav_1.2 Trib-Sez_dist x materia'!B40)/'Tav_1.2 Trib-Sez_dist x materia'!B40</f>
        <v>0.03377962018934513</v>
      </c>
      <c r="C39" s="147">
        <f>IF('Tav_1.2 Trib-Sez_dist x materia'!C40&gt;0,'Tav_1.2 Trib-Sez_dist x materia'!D40/'Tav_1.2 Trib-Sez_dist x materia'!C40," ")</f>
        <v>0.8699590252318309</v>
      </c>
      <c r="D39" s="147">
        <f>IF('Tav_1.2 Trib-Sez_dist x materia'!E40&gt;0,'Tav_1.2 Trib-Sez_dist x materia'!E40/('Tav_1.2 Trib-Sez_dist x materia'!B40+'Tav_1.2 Trib-Sez_dist x materia'!C40)," ")</f>
        <v>0.8206154393454287</v>
      </c>
      <c r="E39" s="148">
        <f>('Tav_1.2 Trib-Sez_dist x materia'!B40+'Tav_1.2 Trib-Sez_dist x materia'!E40)/('Tav_1.2 Trib-Sez_dist x materia'!C40+'Tav_1.2 Trib-Sez_dist x materia'!D40)</f>
        <v>4.18694498904394</v>
      </c>
      <c r="F39" s="147">
        <f>IF('Tav_1.2 Trib-Sez_dist x materia'!F40&gt;0,('Tav_1.2 Trib-Sez_dist x materia'!I40-'Tav_1.2 Trib-Sez_dist x materia'!F40)/'Tav_1.2 Trib-Sez_dist x materia'!F40," ")</f>
        <v>-0.06140495413851815</v>
      </c>
      <c r="G39" s="147">
        <f>IF('Tav_1.2 Trib-Sez_dist x materia'!G40&gt;0,'Tav_1.2 Trib-Sez_dist x materia'!H40/'Tav_1.2 Trib-Sez_dist x materia'!G40," ")</f>
        <v>1.213033536585366</v>
      </c>
      <c r="H39" s="147">
        <f>IF('Tav_1.2 Trib-Sez_dist x materia'!H40&gt;0,'Tav_1.2 Trib-Sez_dist x materia'!H40/('Tav_1.2 Trib-Sez_dist x materia'!F40+'Tav_1.2 Trib-Sez_dist x materia'!G40)," ")</f>
        <v>0.271413344702622</v>
      </c>
      <c r="I39" s="148">
        <f>IF('Tav_1.2 Trib-Sez_dist x materia'!H40&gt;0,('Tav_1.2 Trib-Sez_dist x materia'!F40+'Tav_1.2 Trib-Sez_dist x materia'!I40)/('Tav_1.2 Trib-Sez_dist x materia'!G40+'Tav_1.2 Trib-Sez_dist x materia'!H40)," ")</f>
        <v>3.0390907525400377</v>
      </c>
      <c r="J39" s="147">
        <f>IF('Tav_1.2 Trib-Sez_dist x materia'!J40&gt;0,('Tav_1.2 Trib-Sez_dist x materia'!M40-'Tav_1.2 Trib-Sez_dist x materia'!J40)/'Tav_1.2 Trib-Sez_dist x materia'!J40," ")</f>
        <v>0.09011446409989594</v>
      </c>
      <c r="K39" s="147">
        <f>IF('Tav_1.2 Trib-Sez_dist x materia'!K40&gt;0,'Tav_1.2 Trib-Sez_dist x materia'!L40/'Tav_1.2 Trib-Sez_dist x materia'!K40," ")</f>
        <v>0.8965105162523901</v>
      </c>
      <c r="L39" s="147">
        <f>IF('Tav_1.2 Trib-Sez_dist x materia'!L40&gt;0,'Tav_1.2 Trib-Sez_dist x materia'!L40/('Tav_1.2 Trib-Sez_dist x materia'!J40+'Tav_1.2 Trib-Sez_dist x materia'!K40)," ")</f>
        <v>0.4172877961953499</v>
      </c>
      <c r="M39" s="148">
        <f>IF('Tav_1.2 Trib-Sez_dist x materia'!L40&gt;0,('Tav_1.2 Trib-Sez_dist x materia'!J40+'Tav_1.2 Trib-Sez_dist x materia'!M40)/('Tav_1.2 Trib-Sez_dist x materia'!K40+'Tav_1.2 Trib-Sez_dist x materia'!L40)," ")</f>
        <v>1.2656584751102709</v>
      </c>
      <c r="N39" s="147">
        <f>IF('Tav_1.2 Trib-Sez_dist x materia'!N40&gt;0,('Tav_1.2 Trib-Sez_dist x materia'!S40-'Tav_1.2 Trib-Sez_dist x materia'!N40)/'Tav_1.2 Trib-Sez_dist x materia'!N40," ")</f>
        <v>-1</v>
      </c>
      <c r="O39" s="147">
        <f>IF('Tav_1.2 Trib-Sez_dist x materia'!O40&gt;0,'Tav_1.2 Trib-Sez_dist x materia'!P40/'Tav_1.2 Trib-Sez_dist x materia'!O40," ")</f>
        <v>0.935740839086564</v>
      </c>
      <c r="P39" s="147">
        <f>IF('Tav_1.2 Trib-Sez_dist x materia'!Q40&gt;0,'Tav_1.2 Trib-Sez_dist x materia'!Q40/('Tav_1.2 Trib-Sez_dist x materia'!N40+'Tav_1.2 Trib-Sez_dist x materia'!O40)," ")</f>
        <v>0.5614733698357391</v>
      </c>
      <c r="Q39" s="148">
        <f>IF('Tav_1.2 Trib-Sez_dist x materia'!Q40&gt;0,('Tav_1.2 Trib-Sez_dist x materia'!N40+'Tav_1.2 Trib-Sez_dist x materia'!S40)/('Tav_1.2 Trib-Sez_dist x materia'!O40+'Tav_1.2 Trib-Sez_dist x materia'!Q40)," ")</f>
        <v>0.5158250785213819</v>
      </c>
    </row>
    <row r="42" spans="1:17" ht="33.75" customHeight="1">
      <c r="A42" s="770" t="s">
        <v>491</v>
      </c>
      <c r="B42" s="771"/>
      <c r="C42" s="771"/>
      <c r="D42" s="771"/>
      <c r="E42" s="771"/>
      <c r="F42" s="771"/>
      <c r="G42" s="771"/>
      <c r="H42" s="771"/>
      <c r="I42" s="771"/>
      <c r="J42" s="771"/>
      <c r="K42" s="771"/>
      <c r="L42" s="771"/>
      <c r="M42" s="771"/>
      <c r="N42" s="771"/>
      <c r="O42" s="771"/>
      <c r="P42" s="771"/>
      <c r="Q42" s="771"/>
    </row>
    <row r="44" spans="1:17" ht="25.5" customHeight="1">
      <c r="A44" s="757" t="s">
        <v>0</v>
      </c>
      <c r="B44" s="780" t="s">
        <v>10</v>
      </c>
      <c r="C44" s="781"/>
      <c r="D44" s="781"/>
      <c r="E44" s="782"/>
      <c r="F44" s="762" t="s">
        <v>17</v>
      </c>
      <c r="G44" s="777"/>
      <c r="H44" s="777"/>
      <c r="I44" s="778"/>
      <c r="J44" s="762" t="s">
        <v>18</v>
      </c>
      <c r="K44" s="777"/>
      <c r="L44" s="777"/>
      <c r="M44" s="778"/>
      <c r="N44" s="97"/>
      <c r="O44" s="97"/>
      <c r="P44" s="97"/>
      <c r="Q44" s="97"/>
    </row>
    <row r="45" spans="1:17" ht="21">
      <c r="A45" s="758"/>
      <c r="B45" s="145" t="s">
        <v>241</v>
      </c>
      <c r="C45" s="145" t="s">
        <v>223</v>
      </c>
      <c r="D45" s="145" t="s">
        <v>224</v>
      </c>
      <c r="E45" s="146" t="s">
        <v>225</v>
      </c>
      <c r="F45" s="145" t="s">
        <v>241</v>
      </c>
      <c r="G45" s="145" t="s">
        <v>223</v>
      </c>
      <c r="H45" s="145" t="s">
        <v>224</v>
      </c>
      <c r="I45" s="146" t="s">
        <v>225</v>
      </c>
      <c r="J45" s="145" t="s">
        <v>241</v>
      </c>
      <c r="K45" s="145" t="s">
        <v>223</v>
      </c>
      <c r="L45" s="145" t="s">
        <v>224</v>
      </c>
      <c r="M45" s="146" t="s">
        <v>225</v>
      </c>
      <c r="N45" s="97"/>
      <c r="O45" s="97"/>
      <c r="P45" s="97"/>
      <c r="Q45" s="97"/>
    </row>
    <row r="46" spans="1:17" ht="11.25">
      <c r="A46" s="102" t="s">
        <v>137</v>
      </c>
      <c r="B46" s="272" t="str">
        <f>IF('Tav_1.2 Trib-Sez_dist x materia'!B47&gt;0,('Tav_1.2 Trib-Sez_dist x materia'!E47-'Tav_1.2 Trib-Sez_dist x materia'!B47)/'Tav_1.2 Trib-Sez_dist x materia'!B47," ")</f>
        <v> </v>
      </c>
      <c r="C46" s="558" t="str">
        <f>IF('Tav_1.2 Trib-Sez_dist x materia'!C47&gt;0,'Tav_1.2 Trib-Sez_dist x materia'!#REF!/'Tav_1.2 Trib-Sez_dist x materia'!C47," ")</f>
        <v> </v>
      </c>
      <c r="D46" s="272"/>
      <c r="E46" s="272"/>
      <c r="F46" s="558" t="str">
        <f>IF('Tav_1.2 Trib-Sez_dist x materia'!F47&gt;0,('Tav_1.2 Trib-Sez_dist x materia'!I47-'Tav_1.2 Trib-Sez_dist x materia'!F47)/'Tav_1.2 Trib-Sez_dist x materia'!F47," ")</f>
        <v> </v>
      </c>
      <c r="G46" s="272" t="str">
        <f>IF('Tav_1.2 Trib-Sez_dist x materia'!G47&gt;0,'Tav_1.2 Trib-Sez_dist x materia'!H47/'Tav_1.2 Trib-Sez_dist x materia'!G47," ")</f>
        <v> </v>
      </c>
      <c r="H46" s="272" t="str">
        <f>IF('Tav_1.2 Trib-Sez_dist x materia'!H47&gt;0,'Tav_1.2 Trib-Sez_dist x materia'!H47/('Tav_1.2 Trib-Sez_dist x materia'!F47+'Tav_1.2 Trib-Sez_dist x materia'!G47)," ")</f>
        <v> </v>
      </c>
      <c r="I46" s="558" t="str">
        <f>IF('Tav_1.2 Trib-Sez_dist x materia'!H47&gt;0,('Tav_1.2 Trib-Sez_dist x materia'!F47+'Tav_1.2 Trib-Sez_dist x materia'!I47)/('Tav_1.2 Trib-Sez_dist x materia'!G47+'Tav_1.2 Trib-Sez_dist x materia'!H47)," ")</f>
        <v> </v>
      </c>
      <c r="J46" s="272" t="str">
        <f>IF('Tav_1.2 Trib-Sez_dist x materia'!J47&gt;0,('Tav_1.2 Trib-Sez_dist x materia'!M47-'Tav_1.2 Trib-Sez_dist x materia'!J47)/'Tav_1.2 Trib-Sez_dist x materia'!J47," ")</f>
        <v> </v>
      </c>
      <c r="K46" s="272" t="str">
        <f>IF('Tav_1.2 Trib-Sez_dist x materia'!K47&gt;0,'Tav_1.2 Trib-Sez_dist x materia'!L47/'Tav_1.2 Trib-Sez_dist x materia'!K47," ")</f>
        <v> </v>
      </c>
      <c r="L46" s="558" t="str">
        <f>IF('Tav_1.2 Trib-Sez_dist x materia'!L47&gt;0,'Tav_1.2 Trib-Sez_dist x materia'!L47/('Tav_1.2 Trib-Sez_dist x materia'!J47+'Tav_1.2 Trib-Sez_dist x materia'!K47)," ")</f>
        <v> </v>
      </c>
      <c r="M46" s="272" t="str">
        <f>IF('Tav_1.2 Trib-Sez_dist x materia'!L47&gt;0,('Tav_1.2 Trib-Sez_dist x materia'!J47+'Tav_1.2 Trib-Sez_dist x materia'!M47)/('Tav_1.2 Trib-Sez_dist x materia'!K47+'Tav_1.2 Trib-Sez_dist x materia'!L47)," ")</f>
        <v> </v>
      </c>
      <c r="N46" s="97"/>
      <c r="O46" s="97"/>
      <c r="P46" s="97"/>
      <c r="Q46" s="97"/>
    </row>
    <row r="47" spans="1:17" ht="11.25">
      <c r="A47" s="687" t="s">
        <v>139</v>
      </c>
      <c r="B47" s="147">
        <f>IF('Tav_1.2 Trib-Sez_dist x materia'!B48&gt;0,('Tav_1.2 Trib-Sez_dist x materia'!E48-'Tav_1.2 Trib-Sez_dist x materia'!B48)/'Tav_1.2 Trib-Sez_dist x materia'!B48," ")</f>
        <v>-0.25</v>
      </c>
      <c r="C47" s="147">
        <f>'Tav_1.2 Trib-Sez_dist x materia'!D48/'Tav_1.2 Trib-Sez_dist x materia'!C48</f>
        <v>1.0677966101694916</v>
      </c>
      <c r="D47" s="147">
        <f>'Tav_1.2 Trib-Sez_dist x materia'!D48/('Tav_1.2 Trib-Sez_dist x materia'!B48+'Tav_1.2 Trib-Sez_dist x materia'!C48)</f>
        <v>0.84</v>
      </c>
      <c r="E47" s="148">
        <f>('Tav_1.2 Trib-Sez_dist x materia'!B48+'Tav_1.2 Trib-Sez_dist x materia'!E48)/('Tav_1.2 Trib-Sez_dist x materia'!C48+'Tav_1.2 Trib-Sez_dist x materia'!D48)</f>
        <v>0.22950819672131148</v>
      </c>
      <c r="F47" s="147">
        <f>IF('Tav_1.2 Trib-Sez_dist x materia'!F48&gt;0,('Tav_1.2 Trib-Sez_dist x materia'!I48-'Tav_1.2 Trib-Sez_dist x materia'!F48)/'Tav_1.2 Trib-Sez_dist x materia'!F48," ")</f>
        <v>0.010869565217391304</v>
      </c>
      <c r="G47" s="147">
        <f>IF('Tav_1.2 Trib-Sez_dist x materia'!G48&gt;0,'Tav_1.2 Trib-Sez_dist x materia'!H48/'Tav_1.2 Trib-Sez_dist x materia'!G48," ")</f>
        <v>0.8823529411764706</v>
      </c>
      <c r="H47" s="147">
        <f>IF('Tav_1.2 Trib-Sez_dist x materia'!H48&gt;0,'Tav_1.2 Trib-Sez_dist x materia'!H48/('Tav_1.2 Trib-Sez_dist x materia'!F48+'Tav_1.2 Trib-Sez_dist x materia'!G48)," ")</f>
        <v>0.07462686567164178</v>
      </c>
      <c r="I47" s="148">
        <f>IF('Tav_1.2 Trib-Sez_dist x materia'!H48&gt;0,('Tav_1.2 Trib-Sez_dist x materia'!F48+'Tav_1.2 Trib-Sez_dist x materia'!I48)/('Tav_1.2 Trib-Sez_dist x materia'!G48+'Tav_1.2 Trib-Sez_dist x materia'!H48)," ")</f>
        <v>11.5625</v>
      </c>
      <c r="J47" s="147" t="str">
        <f>IF('Tav_1.2 Trib-Sez_dist x materia'!J48&gt;0,('Tav_1.2 Trib-Sez_dist x materia'!M48-'Tav_1.2 Trib-Sez_dist x materia'!J48)/'Tav_1.2 Trib-Sez_dist x materia'!J48," ")</f>
        <v> </v>
      </c>
      <c r="K47" s="147" t="str">
        <f>IF('Tav_1.2 Trib-Sez_dist x materia'!K48&gt;0,'Tav_1.2 Trib-Sez_dist x materia'!L48/'Tav_1.2 Trib-Sez_dist x materia'!K48," ")</f>
        <v> </v>
      </c>
      <c r="L47" s="147" t="str">
        <f>IF('Tav_1.2 Trib-Sez_dist x materia'!L48&gt;0,'Tav_1.2 Trib-Sez_dist x materia'!L48/('Tav_1.2 Trib-Sez_dist x materia'!J48+'Tav_1.2 Trib-Sez_dist x materia'!K48)," ")</f>
        <v> </v>
      </c>
      <c r="M47" s="148" t="str">
        <f>IF('Tav_1.2 Trib-Sez_dist x materia'!L48&gt;0,('Tav_1.2 Trib-Sez_dist x materia'!J48+'Tav_1.2 Trib-Sez_dist x materia'!M48)/('Tav_1.2 Trib-Sez_dist x materia'!K48+'Tav_1.2 Trib-Sez_dist x materia'!L48)," ")</f>
        <v> </v>
      </c>
      <c r="N47" s="97"/>
      <c r="O47" s="97"/>
      <c r="P47" s="97"/>
      <c r="Q47" s="97"/>
    </row>
    <row r="48" spans="1:17" ht="11.25">
      <c r="A48" s="115" t="s">
        <v>142</v>
      </c>
      <c r="B48" s="147">
        <f>IF('Tav_1.2 Trib-Sez_dist x materia'!B49&gt;0,('Tav_1.2 Trib-Sez_dist x materia'!E49-'Tav_1.2 Trib-Sez_dist x materia'!B49)/'Tav_1.2 Trib-Sez_dist x materia'!B49," ")</f>
        <v>-0.14007782101167315</v>
      </c>
      <c r="C48" s="147">
        <f>'Tav_1.2 Trib-Sez_dist x materia'!D49/'Tav_1.2 Trib-Sez_dist x materia'!C49</f>
        <v>1.0521739130434782</v>
      </c>
      <c r="D48" s="147">
        <f>'Tav_1.2 Trib-Sez_dist x materia'!D49/('Tav_1.2 Trib-Sez_dist x materia'!B49+'Tav_1.2 Trib-Sez_dist x materia'!C49)</f>
        <v>0.7666314677930306</v>
      </c>
      <c r="E48" s="148">
        <f>('Tav_1.2 Trib-Sez_dist x materia'!B49+'Tav_1.2 Trib-Sez_dist x materia'!E49)/('Tav_1.2 Trib-Sez_dist x materia'!C49+'Tav_1.2 Trib-Sez_dist x materia'!D49)</f>
        <v>0.3375706214689266</v>
      </c>
      <c r="F48" s="147">
        <f>IF('Tav_1.2 Trib-Sez_dist x materia'!F49&gt;0,('Tav_1.2 Trib-Sez_dist x materia'!I49-'Tav_1.2 Trib-Sez_dist x materia'!F49)/'Tav_1.2 Trib-Sez_dist x materia'!F49," ")</f>
        <v>0.014115092290988056</v>
      </c>
      <c r="G48" s="147">
        <f>IF('Tav_1.2 Trib-Sez_dist x materia'!G49&gt;0,'Tav_1.2 Trib-Sez_dist x materia'!H49/'Tav_1.2 Trib-Sez_dist x materia'!G49," ")</f>
        <v>0.8755980861244019</v>
      </c>
      <c r="H48" s="147">
        <f>IF('Tav_1.2 Trib-Sez_dist x materia'!H49&gt;0,'Tav_1.2 Trib-Sez_dist x materia'!H49/('Tav_1.2 Trib-Sez_dist x materia'!F49+'Tav_1.2 Trib-Sez_dist x materia'!G49)," ")</f>
        <v>0.08922476840565578</v>
      </c>
      <c r="I48" s="148">
        <f>IF('Tav_1.2 Trib-Sez_dist x materia'!H49&gt;0,('Tav_1.2 Trib-Sez_dist x materia'!F49+'Tav_1.2 Trib-Sez_dist x materia'!I49)/('Tav_1.2 Trib-Sez_dist x materia'!G49+'Tav_1.2 Trib-Sez_dist x materia'!H49)," ")</f>
        <v>9.464285714285714</v>
      </c>
      <c r="J48" s="147" t="str">
        <f>IF('Tav_1.2 Trib-Sez_dist x materia'!J49&gt;0,('Tav_1.2 Trib-Sez_dist x materia'!M49-'Tav_1.2 Trib-Sez_dist x materia'!J49)/'Tav_1.2 Trib-Sez_dist x materia'!J49," ")</f>
        <v> </v>
      </c>
      <c r="K48" s="147">
        <f>IF('Tav_1.2 Trib-Sez_dist x materia'!K49&gt;0,'Tav_1.2 Trib-Sez_dist x materia'!L49/'Tav_1.2 Trib-Sez_dist x materia'!K49," ")</f>
        <v>1</v>
      </c>
      <c r="L48" s="147">
        <f>IF('Tav_1.2 Trib-Sez_dist x materia'!L49&gt;0,'Tav_1.2 Trib-Sez_dist x materia'!L49/('Tav_1.2 Trib-Sez_dist x materia'!J49+'Tav_1.2 Trib-Sez_dist x materia'!K49)," ")</f>
        <v>1</v>
      </c>
      <c r="M48" s="148">
        <f>IF('Tav_1.2 Trib-Sez_dist x materia'!L49&gt;0,('Tav_1.2 Trib-Sez_dist x materia'!J49+'Tav_1.2 Trib-Sez_dist x materia'!M49)/('Tav_1.2 Trib-Sez_dist x materia'!K49+'Tav_1.2 Trib-Sez_dist x materia'!L49)," ")</f>
        <v>0</v>
      </c>
      <c r="N48" s="97"/>
      <c r="O48" s="97"/>
      <c r="P48" s="97"/>
      <c r="Q48" s="97"/>
    </row>
    <row r="49" spans="1:17" ht="11.25">
      <c r="A49" s="582" t="s">
        <v>466</v>
      </c>
      <c r="B49" s="147">
        <f>IF('Tav_1.2 Trib-Sez_dist x materia'!B50&gt;0,('Tav_1.2 Trib-Sez_dist x materia'!E50-'Tav_1.2 Trib-Sez_dist x materia'!B50)/'Tav_1.2 Trib-Sez_dist x materia'!B50," ")</f>
        <v>-1</v>
      </c>
      <c r="C49" s="147">
        <f>'Tav_1.2 Trib-Sez_dist x materia'!D50/'Tav_1.2 Trib-Sez_dist x materia'!C50</f>
        <v>4.454545454545454</v>
      </c>
      <c r="D49" s="147">
        <f>'Tav_1.2 Trib-Sez_dist x materia'!D50/('Tav_1.2 Trib-Sez_dist x materia'!B50+'Tav_1.2 Trib-Sez_dist x materia'!C50)</f>
        <v>1</v>
      </c>
      <c r="E49" s="148">
        <f>('Tav_1.2 Trib-Sez_dist x materia'!B50+'Tav_1.2 Trib-Sez_dist x materia'!E50)/('Tav_1.2 Trib-Sez_dist x materia'!C50+'Tav_1.2 Trib-Sez_dist x materia'!D50)</f>
        <v>0.6333333333333333</v>
      </c>
      <c r="F49" s="147">
        <f>IF('Tav_1.2 Trib-Sez_dist x materia'!F50&gt;0,('Tav_1.2 Trib-Sez_dist x materia'!I50-'Tav_1.2 Trib-Sez_dist x materia'!F50)/'Tav_1.2 Trib-Sez_dist x materia'!F50," ")</f>
        <v>-0.10982658959537572</v>
      </c>
      <c r="G49" s="147">
        <f>IF('Tav_1.2 Trib-Sez_dist x materia'!G50&gt;0,'Tav_1.2 Trib-Sez_dist x materia'!H50/'Tav_1.2 Trib-Sez_dist x materia'!G50," ")</f>
        <v>2.357142857142857</v>
      </c>
      <c r="H49" s="147">
        <f>IF('Tav_1.2 Trib-Sez_dist x materia'!H50&gt;0,'Tav_1.2 Trib-Sez_dist x materia'!H50/('Tav_1.2 Trib-Sez_dist x materia'!F50+'Tav_1.2 Trib-Sez_dist x materia'!G50)," ")</f>
        <v>0.17647058823529413</v>
      </c>
      <c r="I49" s="148">
        <f>IF('Tav_1.2 Trib-Sez_dist x materia'!H50&gt;0,('Tav_1.2 Trib-Sez_dist x materia'!F50+'Tav_1.2 Trib-Sez_dist x materia'!I50)/('Tav_1.2 Trib-Sez_dist x materia'!G50+'Tav_1.2 Trib-Sez_dist x materia'!H50)," ")</f>
        <v>6.957446808510638</v>
      </c>
      <c r="J49" s="147" t="str">
        <f>IF('Tav_1.2 Trib-Sez_dist x materia'!J50&gt;0,('Tav_1.2 Trib-Sez_dist x materia'!M50-'Tav_1.2 Trib-Sez_dist x materia'!J50)/'Tav_1.2 Trib-Sez_dist x materia'!J50," ")</f>
        <v> </v>
      </c>
      <c r="K49" s="147" t="str">
        <f>IF('Tav_1.2 Trib-Sez_dist x materia'!K50&gt;0,'Tav_1.2 Trib-Sez_dist x materia'!L50/'Tav_1.2 Trib-Sez_dist x materia'!K50," ")</f>
        <v> </v>
      </c>
      <c r="L49" s="147" t="str">
        <f>IF('Tav_1.2 Trib-Sez_dist x materia'!L50&gt;0,'Tav_1.2 Trib-Sez_dist x materia'!L50/('Tav_1.2 Trib-Sez_dist x materia'!J50+'Tav_1.2 Trib-Sez_dist x materia'!K50)," ")</f>
        <v> </v>
      </c>
      <c r="M49" s="148" t="str">
        <f>IF('Tav_1.2 Trib-Sez_dist x materia'!L50&gt;0,('Tav_1.2 Trib-Sez_dist x materia'!J50+'Tav_1.2 Trib-Sez_dist x materia'!M50)/('Tav_1.2 Trib-Sez_dist x materia'!K50+'Tav_1.2 Trib-Sez_dist x materia'!L50)," ")</f>
        <v> </v>
      </c>
      <c r="N49" s="97"/>
      <c r="O49" s="97"/>
      <c r="P49" s="97"/>
      <c r="Q49" s="97"/>
    </row>
    <row r="50" spans="1:17" ht="11.25">
      <c r="A50" s="116" t="s">
        <v>152</v>
      </c>
      <c r="B50" s="147">
        <f>IF('Tav_1.2 Trib-Sez_dist x materia'!B51&gt;0,('Tav_1.2 Trib-Sez_dist x materia'!E51-'Tav_1.2 Trib-Sez_dist x materia'!B51)/'Tav_1.2 Trib-Sez_dist x materia'!B51," ")</f>
        <v>-0.2857142857142857</v>
      </c>
      <c r="C50" s="147">
        <f>'Tav_1.2 Trib-Sez_dist x materia'!D51/'Tav_1.2 Trib-Sez_dist x materia'!C51</f>
        <v>1.2261904761904763</v>
      </c>
      <c r="D50" s="147">
        <f>'Tav_1.2 Trib-Sez_dist x materia'!D51/('Tav_1.2 Trib-Sez_dist x materia'!B51+'Tav_1.2 Trib-Sez_dist x materia'!C51)</f>
        <v>0.6843853820598007</v>
      </c>
      <c r="E50" s="148">
        <f>('Tav_1.2 Trib-Sez_dist x materia'!B51+'Tav_1.2 Trib-Sez_dist x materia'!E51)/('Tav_1.2 Trib-Sez_dist x materia'!C51+'Tav_1.2 Trib-Sez_dist x materia'!D51)</f>
        <v>0.6096256684491979</v>
      </c>
      <c r="F50" s="147">
        <f>IF('Tav_1.2 Trib-Sez_dist x materia'!F51&gt;0,('Tav_1.2 Trib-Sez_dist x materia'!I51-'Tav_1.2 Trib-Sez_dist x materia'!F51)/'Tav_1.2 Trib-Sez_dist x materia'!F51," ")</f>
        <v>0.002824858757062147</v>
      </c>
      <c r="G50" s="147">
        <f>IF('Tav_1.2 Trib-Sez_dist x materia'!G51&gt;0,'Tav_1.2 Trib-Sez_dist x materia'!H51/'Tav_1.2 Trib-Sez_dist x materia'!G51," ")</f>
        <v>0.9722222222222222</v>
      </c>
      <c r="H50" s="147">
        <f>IF('Tav_1.2 Trib-Sez_dist x materia'!H51&gt;0,'Tav_1.2 Trib-Sez_dist x materia'!H51/('Tav_1.2 Trib-Sez_dist x materia'!F51+'Tav_1.2 Trib-Sez_dist x materia'!G51)," ")</f>
        <v>0.08974358974358974</v>
      </c>
      <c r="I50" s="148">
        <f>IF('Tav_1.2 Trib-Sez_dist x materia'!H51&gt;0,('Tav_1.2 Trib-Sez_dist x materia'!F51+'Tav_1.2 Trib-Sez_dist x materia'!I51)/('Tav_1.2 Trib-Sez_dist x materia'!G51+'Tav_1.2 Trib-Sez_dist x materia'!H51)," ")</f>
        <v>9.985915492957746</v>
      </c>
      <c r="J50" s="147" t="str">
        <f>IF('Tav_1.2 Trib-Sez_dist x materia'!J51&gt;0,('Tav_1.2 Trib-Sez_dist x materia'!M51-'Tav_1.2 Trib-Sez_dist x materia'!J51)/'Tav_1.2 Trib-Sez_dist x materia'!J51," ")</f>
        <v> </v>
      </c>
      <c r="K50" s="147" t="str">
        <f>IF('Tav_1.2 Trib-Sez_dist x materia'!K51&gt;0,'Tav_1.2 Trib-Sez_dist x materia'!L51/'Tav_1.2 Trib-Sez_dist x materia'!K51," ")</f>
        <v> </v>
      </c>
      <c r="L50" s="147" t="str">
        <f>IF('Tav_1.2 Trib-Sez_dist x materia'!L51&gt;0,'Tav_1.2 Trib-Sez_dist x materia'!L51/('Tav_1.2 Trib-Sez_dist x materia'!J51+'Tav_1.2 Trib-Sez_dist x materia'!K51)," ")</f>
        <v> </v>
      </c>
      <c r="M50" s="148" t="str">
        <f>IF('Tav_1.2 Trib-Sez_dist x materia'!L51&gt;0,('Tav_1.2 Trib-Sez_dist x materia'!J51+'Tav_1.2 Trib-Sez_dist x materia'!M51)/('Tav_1.2 Trib-Sez_dist x materia'!K51+'Tav_1.2 Trib-Sez_dist x materia'!L51)," ")</f>
        <v> </v>
      </c>
      <c r="N50" s="97"/>
      <c r="O50" s="97"/>
      <c r="P50" s="97"/>
      <c r="Q50" s="97"/>
    </row>
    <row r="51" spans="1:17" ht="11.25">
      <c r="A51" s="116" t="s">
        <v>155</v>
      </c>
      <c r="B51" s="147">
        <f>IF('Tav_1.2 Trib-Sez_dist x materia'!B52&gt;0,('Tav_1.2 Trib-Sez_dist x materia'!E52-'Tav_1.2 Trib-Sez_dist x materia'!B52)/'Tav_1.2 Trib-Sez_dist x materia'!B52," ")</f>
        <v>-0.06622516556291391</v>
      </c>
      <c r="C51" s="147">
        <f>'Tav_1.2 Trib-Sez_dist x materia'!D52/'Tav_1.2 Trib-Sez_dist x materia'!C52</f>
        <v>1.0363636363636364</v>
      </c>
      <c r="D51" s="147">
        <f>'Tav_1.2 Trib-Sez_dist x materia'!D52/('Tav_1.2 Trib-Sez_dist x materia'!B52+'Tav_1.2 Trib-Sez_dist x materia'!C52)</f>
        <v>0.6690140845070423</v>
      </c>
      <c r="E51" s="148">
        <f>('Tav_1.2 Trib-Sez_dist x materia'!B52+'Tav_1.2 Trib-Sez_dist x materia'!E52)/('Tav_1.2 Trib-Sez_dist x materia'!C52+'Tav_1.2 Trib-Sez_dist x materia'!D52)</f>
        <v>0.5214285714285715</v>
      </c>
      <c r="F51" s="147">
        <f>IF('Tav_1.2 Trib-Sez_dist x materia'!F52&gt;0,('Tav_1.2 Trib-Sez_dist x materia'!I52-'Tav_1.2 Trib-Sez_dist x materia'!F52)/'Tav_1.2 Trib-Sez_dist x materia'!F52," ")</f>
        <v>-0.039272030651340994</v>
      </c>
      <c r="G51" s="147">
        <f>IF('Tav_1.2 Trib-Sez_dist x materia'!G52&gt;0,'Tav_1.2 Trib-Sez_dist x materia'!H52/'Tav_1.2 Trib-Sez_dist x materia'!G52," ")</f>
        <v>1.554054054054054</v>
      </c>
      <c r="H51" s="147">
        <f>IF('Tav_1.2 Trib-Sez_dist x materia'!H52&gt;0,'Tav_1.2 Trib-Sez_dist x materia'!H52/('Tav_1.2 Trib-Sez_dist x materia'!F52+'Tav_1.2 Trib-Sez_dist x materia'!G52)," ")</f>
        <v>0.10286225402504472</v>
      </c>
      <c r="I51" s="148">
        <f>IF('Tav_1.2 Trib-Sez_dist x materia'!H52&gt;0,('Tav_1.2 Trib-Sez_dist x materia'!F52+'Tav_1.2 Trib-Sez_dist x materia'!I52)/('Tav_1.2 Trib-Sez_dist x materia'!G52+'Tav_1.2 Trib-Sez_dist x materia'!H52)," ")</f>
        <v>10.83068783068783</v>
      </c>
      <c r="J51" s="147" t="str">
        <f>IF('Tav_1.2 Trib-Sez_dist x materia'!J52&gt;0,('Tav_1.2 Trib-Sez_dist x materia'!M52-'Tav_1.2 Trib-Sez_dist x materia'!J52)/'Tav_1.2 Trib-Sez_dist x materia'!J52," ")</f>
        <v> </v>
      </c>
      <c r="K51" s="147" t="str">
        <f>IF('Tav_1.2 Trib-Sez_dist x materia'!K52&gt;0,'Tav_1.2 Trib-Sez_dist x materia'!L52/'Tav_1.2 Trib-Sez_dist x materia'!K52," ")</f>
        <v> </v>
      </c>
      <c r="L51" s="147" t="str">
        <f>IF('Tav_1.2 Trib-Sez_dist x materia'!L52&gt;0,'Tav_1.2 Trib-Sez_dist x materia'!L52/('Tav_1.2 Trib-Sez_dist x materia'!J52+'Tav_1.2 Trib-Sez_dist x materia'!K52)," ")</f>
        <v> </v>
      </c>
      <c r="M51" s="148" t="str">
        <f>IF('Tav_1.2 Trib-Sez_dist x materia'!L52&gt;0,('Tav_1.2 Trib-Sez_dist x materia'!J52+'Tav_1.2 Trib-Sez_dist x materia'!M52)/('Tav_1.2 Trib-Sez_dist x materia'!K52+'Tav_1.2 Trib-Sez_dist x materia'!L52)," ")</f>
        <v> </v>
      </c>
      <c r="N51" s="97"/>
      <c r="O51" s="97"/>
      <c r="P51" s="97"/>
      <c r="Q51" s="97"/>
    </row>
    <row r="52" spans="1:17" ht="11.25">
      <c r="A52" s="117" t="s">
        <v>5</v>
      </c>
      <c r="B52" s="147">
        <f>IF('Tav_1.2 Trib-Sez_dist x materia'!B53&gt;0,('Tav_1.2 Trib-Sez_dist x materia'!E53-'Tav_1.2 Trib-Sez_dist x materia'!B53)/'Tav_1.2 Trib-Sez_dist x materia'!B53," ")</f>
        <v>-0.21176470588235294</v>
      </c>
      <c r="C52" s="147">
        <f>'Tav_1.2 Trib-Sez_dist x materia'!D53/'Tav_1.2 Trib-Sez_dist x materia'!C53</f>
        <v>1.1047381546134662</v>
      </c>
      <c r="D52" s="147">
        <f>'Tav_1.2 Trib-Sez_dist x materia'!D53/('Tav_1.2 Trib-Sez_dist x materia'!B53+'Tav_1.2 Trib-Sez_dist x materia'!C53)</f>
        <v>0.739154616240267</v>
      </c>
      <c r="E52" s="148">
        <f>('Tav_1.2 Trib-Sez_dist x materia'!B53+'Tav_1.2 Trib-Sez_dist x materia'!E53)/('Tav_1.2 Trib-Sez_dist x materia'!C53+'Tav_1.2 Trib-Sez_dist x materia'!D53)</f>
        <v>0.42022116903633494</v>
      </c>
      <c r="F52" s="147">
        <f>IF('Tav_1.2 Trib-Sez_dist x materia'!F53&gt;0,('Tav_1.2 Trib-Sez_dist x materia'!I53-'Tav_1.2 Trib-Sez_dist x materia'!F53)/'Tav_1.2 Trib-Sez_dist x materia'!F53," ")</f>
        <v>-0.008618293021962747</v>
      </c>
      <c r="G52" s="147">
        <f>IF('Tav_1.2 Trib-Sez_dist x materia'!G53&gt;0,'Tav_1.2 Trib-Sez_dist x materia'!H53/'Tav_1.2 Trib-Sez_dist x materia'!G53," ")</f>
        <v>1.0885714285714285</v>
      </c>
      <c r="H52" s="147">
        <f>IF('Tav_1.2 Trib-Sez_dist x materia'!H53&gt;0,'Tav_1.2 Trib-Sez_dist x materia'!H53/('Tav_1.2 Trib-Sez_dist x materia'!F53+'Tav_1.2 Trib-Sez_dist x materia'!G53)," ")</f>
        <v>0.09652900937420826</v>
      </c>
      <c r="I52" s="148">
        <f>IF('Tav_1.2 Trib-Sez_dist x materia'!H53&gt;0,('Tav_1.2 Trib-Sez_dist x materia'!F53+'Tav_1.2 Trib-Sez_dist x materia'!I53)/('Tav_1.2 Trib-Sez_dist x materia'!G53+'Tav_1.2 Trib-Sez_dist x materia'!H53)," ")</f>
        <v>9.79890560875513</v>
      </c>
      <c r="J52" s="147" t="str">
        <f>IF('Tav_1.2 Trib-Sez_dist x materia'!J53&gt;0,('Tav_1.2 Trib-Sez_dist x materia'!M53-'Tav_1.2 Trib-Sez_dist x materia'!J53)/'Tav_1.2 Trib-Sez_dist x materia'!J53," ")</f>
        <v> </v>
      </c>
      <c r="K52" s="147">
        <f>IF('Tav_1.2 Trib-Sez_dist x materia'!K53&gt;0,'Tav_1.2 Trib-Sez_dist x materia'!L53/'Tav_1.2 Trib-Sez_dist x materia'!K53," ")</f>
        <v>1</v>
      </c>
      <c r="L52" s="147">
        <f>IF('Tav_1.2 Trib-Sez_dist x materia'!L53&gt;0,'Tav_1.2 Trib-Sez_dist x materia'!L53/('Tav_1.2 Trib-Sez_dist x materia'!J53+'Tav_1.2 Trib-Sez_dist x materia'!K53)," ")</f>
        <v>1</v>
      </c>
      <c r="M52" s="148">
        <f>IF('Tav_1.2 Trib-Sez_dist x materia'!L53&gt;0,('Tav_1.2 Trib-Sez_dist x materia'!J53+'Tav_1.2 Trib-Sez_dist x materia'!M53)/('Tav_1.2 Trib-Sez_dist x materia'!K53+'Tav_1.2 Trib-Sez_dist x materia'!L53)," ")</f>
        <v>0</v>
      </c>
      <c r="N52" s="97"/>
      <c r="O52" s="97"/>
      <c r="P52" s="97"/>
      <c r="Q52" s="97"/>
    </row>
    <row r="54" ht="11.25">
      <c r="A54" s="118"/>
    </row>
    <row r="55" ht="11.25">
      <c r="A55" s="118"/>
    </row>
    <row r="56" ht="11.25">
      <c r="A56" s="118"/>
    </row>
    <row r="59" spans="1:5" ht="11.25">
      <c r="A59" s="757" t="s">
        <v>0</v>
      </c>
      <c r="B59" s="762" t="s">
        <v>19</v>
      </c>
      <c r="C59" s="777"/>
      <c r="D59" s="777"/>
      <c r="E59" s="778"/>
    </row>
    <row r="60" spans="1:5" ht="21">
      <c r="A60" s="758"/>
      <c r="B60" s="145" t="s">
        <v>241</v>
      </c>
      <c r="C60" s="145" t="s">
        <v>223</v>
      </c>
      <c r="D60" s="145" t="s">
        <v>224</v>
      </c>
      <c r="E60" s="146" t="s">
        <v>225</v>
      </c>
    </row>
    <row r="61" spans="1:5" ht="11.25">
      <c r="A61" s="102" t="s">
        <v>137</v>
      </c>
      <c r="B61" s="147">
        <f>IF('Tav_1.2 Trib-Sez_dist x materia'!B62&gt;0,('Tav_1.2 Trib-Sez_dist x materia'!E62-'Tav_1.2 Trib-Sez_dist x materia'!B62)/'Tav_1.2 Trib-Sez_dist x materia'!B62," ")</f>
        <v>3.6</v>
      </c>
      <c r="C61" s="147">
        <f>IF('Tav_1.2 Trib-Sez_dist x materia'!C62&gt;0,'Tav_1.2 Trib-Sez_dist x materia'!D62/'Tav_1.2 Trib-Sez_dist x materia'!C62," ")</f>
        <v>0.7962264150943397</v>
      </c>
      <c r="D61" s="147">
        <f>IF('Tav_1.2 Trib-Sez_dist x materia'!E62&gt;0,'Tav_1.2 Trib-Sez_dist x materia'!D62/('Tav_1.2 Trib-Sez_dist x materia'!B62+'Tav_1.2 Trib-Sez_dist x materia'!C62)," ")</f>
        <v>0.7535714285714286</v>
      </c>
      <c r="E61" s="148">
        <f>IF('Tav_1.2 Trib-Sez_dist x materia'!E62&gt;0,('Tav_1.2 Trib-Sez_dist x materia'!B62+'Tav_1.2 Trib-Sez_dist x materia'!E62)/('Tav_1.2 Trib-Sez_dist x materia'!C62+'Tav_1.2 Trib-Sez_dist x materia'!D62))</f>
        <v>0.17647058823529413</v>
      </c>
    </row>
  </sheetData>
  <sheetProtection/>
  <mergeCells count="19">
    <mergeCell ref="A3:A4"/>
    <mergeCell ref="B3:E3"/>
    <mergeCell ref="N3:Q3"/>
    <mergeCell ref="A29:Q29"/>
    <mergeCell ref="A31:A32"/>
    <mergeCell ref="B31:E31"/>
    <mergeCell ref="F31:I31"/>
    <mergeCell ref="J31:M31"/>
    <mergeCell ref="N31:Q31"/>
    <mergeCell ref="A59:A60"/>
    <mergeCell ref="B59:E59"/>
    <mergeCell ref="A1:M1"/>
    <mergeCell ref="A42:Q42"/>
    <mergeCell ref="A44:A45"/>
    <mergeCell ref="B44:E44"/>
    <mergeCell ref="F44:I44"/>
    <mergeCell ref="J44:M44"/>
    <mergeCell ref="F3:I3"/>
    <mergeCell ref="J3:M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M48"/>
  <sheetViews>
    <sheetView zoomScale="90" zoomScaleNormal="90" zoomScalePageLayoutView="0" workbookViewId="0" topLeftCell="A13">
      <selection activeCell="P13" sqref="P13"/>
    </sheetView>
  </sheetViews>
  <sheetFormatPr defaultColWidth="9.140625" defaultRowHeight="12.75"/>
  <cols>
    <col min="1" max="1" width="30.7109375" style="12" customWidth="1"/>
    <col min="2" max="13" width="7.00390625" style="294" customWidth="1"/>
    <col min="14" max="16384" width="9.140625" style="12" customWidth="1"/>
  </cols>
  <sheetData>
    <row r="1" spans="1:13" ht="31.5" customHeight="1">
      <c r="A1" s="457" t="s">
        <v>492</v>
      </c>
      <c r="B1" s="292"/>
      <c r="C1" s="292"/>
      <c r="D1" s="292"/>
      <c r="E1" s="292"/>
      <c r="F1" s="292"/>
      <c r="G1" s="292"/>
      <c r="H1" s="292"/>
      <c r="I1" s="292"/>
      <c r="J1" s="292"/>
      <c r="K1" s="292"/>
      <c r="L1" s="292"/>
      <c r="M1" s="292"/>
    </row>
    <row r="2" spans="1:10" ht="15" customHeight="1">
      <c r="A2" s="27"/>
      <c r="B2" s="293"/>
      <c r="C2" s="293"/>
      <c r="D2" s="293"/>
      <c r="E2" s="293"/>
      <c r="F2" s="293"/>
      <c r="G2" s="293"/>
      <c r="H2" s="293"/>
      <c r="I2" s="293"/>
      <c r="J2" s="293"/>
    </row>
    <row r="3" spans="1:13" s="18" customFormat="1" ht="29.25" customHeight="1">
      <c r="A3" s="789" t="s">
        <v>287</v>
      </c>
      <c r="B3" s="786" t="s">
        <v>288</v>
      </c>
      <c r="C3" s="787"/>
      <c r="D3" s="788"/>
      <c r="E3" s="786" t="s">
        <v>289</v>
      </c>
      <c r="F3" s="787"/>
      <c r="G3" s="788"/>
      <c r="H3" s="786" t="s">
        <v>290</v>
      </c>
      <c r="I3" s="787"/>
      <c r="J3" s="788"/>
      <c r="K3" s="786" t="s">
        <v>291</v>
      </c>
      <c r="L3" s="787"/>
      <c r="M3" s="788"/>
    </row>
    <row r="4" spans="1:13" s="18" customFormat="1" ht="21" customHeight="1">
      <c r="A4" s="790"/>
      <c r="B4" s="297" t="s">
        <v>1</v>
      </c>
      <c r="C4" s="297" t="s">
        <v>2</v>
      </c>
      <c r="D4" s="297" t="s">
        <v>3</v>
      </c>
      <c r="E4" s="295" t="s">
        <v>1</v>
      </c>
      <c r="F4" s="295" t="s">
        <v>2</v>
      </c>
      <c r="G4" s="295" t="s">
        <v>3</v>
      </c>
      <c r="H4" s="295" t="s">
        <v>1</v>
      </c>
      <c r="I4" s="295" t="s">
        <v>2</v>
      </c>
      <c r="J4" s="295" t="s">
        <v>3</v>
      </c>
      <c r="K4" s="295" t="s">
        <v>1</v>
      </c>
      <c r="L4" s="295" t="s">
        <v>2</v>
      </c>
      <c r="M4" s="295" t="s">
        <v>3</v>
      </c>
    </row>
    <row r="5" spans="1:13" s="18" customFormat="1" ht="15" customHeight="1">
      <c r="A5" s="42" t="s">
        <v>161</v>
      </c>
      <c r="B5" s="29">
        <v>115</v>
      </c>
      <c r="C5" s="29">
        <v>102</v>
      </c>
      <c r="D5" s="29">
        <v>56</v>
      </c>
      <c r="E5" s="29">
        <v>122</v>
      </c>
      <c r="F5" s="29">
        <v>107</v>
      </c>
      <c r="G5" s="29">
        <v>55</v>
      </c>
      <c r="H5" s="29">
        <v>206</v>
      </c>
      <c r="I5" s="29">
        <v>217</v>
      </c>
      <c r="J5" s="29">
        <v>137</v>
      </c>
      <c r="K5" s="379">
        <v>0</v>
      </c>
      <c r="L5" s="379">
        <v>0</v>
      </c>
      <c r="M5" s="379">
        <v>0</v>
      </c>
    </row>
    <row r="6" spans="1:13" s="18" customFormat="1" ht="15" customHeight="1">
      <c r="A6" s="42" t="s">
        <v>162</v>
      </c>
      <c r="B6" s="379">
        <v>19</v>
      </c>
      <c r="C6" s="379">
        <v>26</v>
      </c>
      <c r="D6" s="379">
        <v>3</v>
      </c>
      <c r="E6" s="379">
        <v>19</v>
      </c>
      <c r="F6" s="379">
        <v>21</v>
      </c>
      <c r="G6" s="379">
        <v>18</v>
      </c>
      <c r="H6" s="379">
        <v>20</v>
      </c>
      <c r="I6" s="379">
        <v>46</v>
      </c>
      <c r="J6" s="379">
        <v>24</v>
      </c>
      <c r="K6" s="379">
        <v>0</v>
      </c>
      <c r="L6" s="379">
        <v>0</v>
      </c>
      <c r="M6" s="379">
        <v>0</v>
      </c>
    </row>
    <row r="7" spans="1:13" s="18" customFormat="1" ht="24.75" customHeight="1">
      <c r="A7" s="42" t="s">
        <v>163</v>
      </c>
      <c r="B7" s="379">
        <v>4</v>
      </c>
      <c r="C7" s="379">
        <v>1</v>
      </c>
      <c r="D7" s="379">
        <v>59</v>
      </c>
      <c r="E7" s="379">
        <v>2</v>
      </c>
      <c r="F7" s="379">
        <v>3</v>
      </c>
      <c r="G7" s="379">
        <v>5</v>
      </c>
      <c r="H7" s="379">
        <v>2</v>
      </c>
      <c r="I7" s="379">
        <v>5</v>
      </c>
      <c r="J7" s="379">
        <v>34</v>
      </c>
      <c r="K7" s="379">
        <v>0</v>
      </c>
      <c r="L7" s="379">
        <v>0</v>
      </c>
      <c r="M7" s="379">
        <v>0</v>
      </c>
    </row>
    <row r="8" spans="1:13" s="18" customFormat="1" ht="15" customHeight="1">
      <c r="A8" s="300" t="s">
        <v>164</v>
      </c>
      <c r="B8" s="564"/>
      <c r="C8" s="379"/>
      <c r="D8" s="379"/>
      <c r="E8" s="379"/>
      <c r="F8" s="379"/>
      <c r="G8" s="379"/>
      <c r="H8" s="379"/>
      <c r="I8" s="379"/>
      <c r="J8" s="379"/>
      <c r="K8" s="379"/>
      <c r="L8" s="379"/>
      <c r="M8" s="379"/>
    </row>
    <row r="9" spans="1:13" s="18" customFormat="1" ht="15" customHeight="1">
      <c r="A9" s="42" t="s">
        <v>165</v>
      </c>
      <c r="B9" s="379">
        <v>6</v>
      </c>
      <c r="C9" s="379">
        <v>8</v>
      </c>
      <c r="D9" s="379">
        <v>27</v>
      </c>
      <c r="E9" s="379">
        <v>6</v>
      </c>
      <c r="F9" s="379">
        <v>42</v>
      </c>
      <c r="G9" s="379">
        <v>125</v>
      </c>
      <c r="H9" s="379">
        <v>22</v>
      </c>
      <c r="I9" s="379">
        <v>18</v>
      </c>
      <c r="J9" s="379">
        <v>206</v>
      </c>
      <c r="K9" s="379">
        <v>0</v>
      </c>
      <c r="L9" s="379">
        <v>0</v>
      </c>
      <c r="M9" s="379">
        <v>0</v>
      </c>
    </row>
    <row r="10" spans="1:13" s="18" customFormat="1" ht="15" customHeight="1">
      <c r="A10" s="42" t="s">
        <v>166</v>
      </c>
      <c r="B10" s="379">
        <v>14</v>
      </c>
      <c r="C10" s="379">
        <v>34</v>
      </c>
      <c r="D10" s="379">
        <v>4</v>
      </c>
      <c r="E10" s="379">
        <v>0</v>
      </c>
      <c r="F10" s="379">
        <v>0</v>
      </c>
      <c r="G10" s="379">
        <v>0</v>
      </c>
      <c r="H10" s="379">
        <v>0</v>
      </c>
      <c r="I10" s="379">
        <v>6</v>
      </c>
      <c r="J10" s="379">
        <v>8</v>
      </c>
      <c r="K10" s="379">
        <v>0</v>
      </c>
      <c r="L10" s="379">
        <v>0</v>
      </c>
      <c r="M10" s="379">
        <v>0</v>
      </c>
    </row>
    <row r="11" spans="1:13" s="17" customFormat="1" ht="15" customHeight="1" thickBot="1">
      <c r="A11" s="44" t="s">
        <v>160</v>
      </c>
      <c r="B11" s="374">
        <f>SUM(B5:B10)</f>
        <v>158</v>
      </c>
      <c r="C11" s="374">
        <f aca="true" t="shared" si="0" ref="C11:M11">SUM(C5:C10)</f>
        <v>171</v>
      </c>
      <c r="D11" s="374">
        <f t="shared" si="0"/>
        <v>149</v>
      </c>
      <c r="E11" s="374">
        <f t="shared" si="0"/>
        <v>149</v>
      </c>
      <c r="F11" s="374">
        <f t="shared" si="0"/>
        <v>173</v>
      </c>
      <c r="G11" s="374">
        <f t="shared" si="0"/>
        <v>203</v>
      </c>
      <c r="H11" s="374">
        <f t="shared" si="0"/>
        <v>250</v>
      </c>
      <c r="I11" s="374">
        <f t="shared" si="0"/>
        <v>292</v>
      </c>
      <c r="J11" s="374">
        <f t="shared" si="0"/>
        <v>409</v>
      </c>
      <c r="K11" s="374">
        <f t="shared" si="0"/>
        <v>0</v>
      </c>
      <c r="L11" s="374">
        <f t="shared" si="0"/>
        <v>0</v>
      </c>
      <c r="M11" s="374">
        <f t="shared" si="0"/>
        <v>0</v>
      </c>
    </row>
    <row r="12" spans="1:13" s="18" customFormat="1" ht="15" customHeight="1" thickTop="1">
      <c r="A12" s="42" t="s">
        <v>169</v>
      </c>
      <c r="B12" s="380">
        <v>366</v>
      </c>
      <c r="C12" s="380">
        <v>470</v>
      </c>
      <c r="D12" s="380">
        <v>301</v>
      </c>
      <c r="E12" s="380">
        <v>346</v>
      </c>
      <c r="F12" s="380">
        <v>196</v>
      </c>
      <c r="G12" s="380">
        <v>160</v>
      </c>
      <c r="H12" s="384">
        <v>450</v>
      </c>
      <c r="I12" s="384">
        <v>381</v>
      </c>
      <c r="J12" s="384">
        <v>374</v>
      </c>
      <c r="K12" s="384">
        <v>0</v>
      </c>
      <c r="L12" s="384">
        <v>0</v>
      </c>
      <c r="M12" s="384">
        <v>0</v>
      </c>
    </row>
    <row r="13" spans="1:13" s="18" customFormat="1" ht="15" customHeight="1">
      <c r="A13" s="42" t="s">
        <v>170</v>
      </c>
      <c r="B13" s="379">
        <v>11</v>
      </c>
      <c r="C13" s="379">
        <v>12</v>
      </c>
      <c r="D13" s="379">
        <v>9</v>
      </c>
      <c r="E13" s="379">
        <v>30</v>
      </c>
      <c r="F13" s="379">
        <v>21</v>
      </c>
      <c r="G13" s="379">
        <v>79</v>
      </c>
      <c r="H13" s="379">
        <v>101</v>
      </c>
      <c r="I13" s="379">
        <v>141</v>
      </c>
      <c r="J13" s="379">
        <v>293</v>
      </c>
      <c r="K13" s="379">
        <v>0</v>
      </c>
      <c r="L13" s="379">
        <v>0</v>
      </c>
      <c r="M13" s="379">
        <v>0</v>
      </c>
    </row>
    <row r="14" spans="1:13" s="18" customFormat="1" ht="15" customHeight="1">
      <c r="A14" s="42" t="s">
        <v>171</v>
      </c>
      <c r="B14" s="379">
        <v>30</v>
      </c>
      <c r="C14" s="379">
        <v>34</v>
      </c>
      <c r="D14" s="379">
        <v>42</v>
      </c>
      <c r="E14" s="379">
        <v>46</v>
      </c>
      <c r="F14" s="379">
        <v>39</v>
      </c>
      <c r="G14" s="379">
        <v>8</v>
      </c>
      <c r="H14" s="379">
        <v>85</v>
      </c>
      <c r="I14" s="379">
        <v>122</v>
      </c>
      <c r="J14" s="379">
        <v>177</v>
      </c>
      <c r="K14" s="379">
        <v>0</v>
      </c>
      <c r="L14" s="379">
        <v>0</v>
      </c>
      <c r="M14" s="379">
        <v>0</v>
      </c>
    </row>
    <row r="15" spans="1:13" s="18" customFormat="1" ht="15" customHeight="1">
      <c r="A15" s="42" t="s">
        <v>172</v>
      </c>
      <c r="B15" s="379">
        <v>11</v>
      </c>
      <c r="C15" s="379">
        <v>13</v>
      </c>
      <c r="D15" s="379">
        <v>2</v>
      </c>
      <c r="E15" s="379">
        <v>160</v>
      </c>
      <c r="F15" s="379">
        <v>183</v>
      </c>
      <c r="G15" s="379">
        <v>31</v>
      </c>
      <c r="H15" s="379">
        <v>117</v>
      </c>
      <c r="I15" s="379">
        <v>138</v>
      </c>
      <c r="J15" s="379">
        <v>100</v>
      </c>
      <c r="K15" s="379">
        <v>0</v>
      </c>
      <c r="L15" s="379">
        <v>0</v>
      </c>
      <c r="M15" s="379">
        <v>0</v>
      </c>
    </row>
    <row r="16" spans="1:13" s="18" customFormat="1" ht="15" customHeight="1">
      <c r="A16" s="42" t="s">
        <v>173</v>
      </c>
      <c r="B16" s="379">
        <v>27</v>
      </c>
      <c r="C16" s="379">
        <v>34</v>
      </c>
      <c r="D16" s="379">
        <v>7</v>
      </c>
      <c r="E16" s="379">
        <v>35</v>
      </c>
      <c r="F16" s="379">
        <v>44</v>
      </c>
      <c r="G16" s="379">
        <v>26</v>
      </c>
      <c r="H16" s="379">
        <v>62</v>
      </c>
      <c r="I16" s="379">
        <v>112</v>
      </c>
      <c r="J16" s="379">
        <v>69</v>
      </c>
      <c r="K16" s="379">
        <v>0</v>
      </c>
      <c r="L16" s="379">
        <v>0</v>
      </c>
      <c r="M16" s="379">
        <v>0</v>
      </c>
    </row>
    <row r="17" spans="1:13" s="18" customFormat="1" ht="15" customHeight="1">
      <c r="A17" s="42" t="s">
        <v>168</v>
      </c>
      <c r="B17" s="379">
        <v>1416</v>
      </c>
      <c r="C17" s="379">
        <v>1569</v>
      </c>
      <c r="D17" s="379">
        <v>635</v>
      </c>
      <c r="E17" s="379">
        <v>1739</v>
      </c>
      <c r="F17" s="379">
        <v>1929</v>
      </c>
      <c r="G17" s="379">
        <v>1200</v>
      </c>
      <c r="H17" s="379">
        <v>1171</v>
      </c>
      <c r="I17" s="379">
        <v>1484</v>
      </c>
      <c r="J17" s="379">
        <v>1586</v>
      </c>
      <c r="K17" s="379">
        <v>45</v>
      </c>
      <c r="L17" s="379">
        <v>43</v>
      </c>
      <c r="M17" s="379">
        <v>13</v>
      </c>
    </row>
    <row r="18" spans="1:13" s="18" customFormat="1" ht="15" customHeight="1">
      <c r="A18" s="300" t="s">
        <v>174</v>
      </c>
      <c r="B18" s="379"/>
      <c r="C18" s="379"/>
      <c r="D18" s="379"/>
      <c r="E18" s="29"/>
      <c r="F18" s="29"/>
      <c r="G18" s="29"/>
      <c r="H18" s="29"/>
      <c r="I18" s="29"/>
      <c r="J18" s="29"/>
      <c r="K18" s="379"/>
      <c r="L18" s="379"/>
      <c r="M18" s="379"/>
    </row>
    <row r="19" spans="1:13" s="18" customFormat="1" ht="15" customHeight="1">
      <c r="A19" s="42" t="s">
        <v>175</v>
      </c>
      <c r="B19" s="379">
        <v>31</v>
      </c>
      <c r="C19" s="379">
        <v>28</v>
      </c>
      <c r="D19" s="379">
        <v>24</v>
      </c>
      <c r="E19" s="379">
        <v>50</v>
      </c>
      <c r="F19" s="379">
        <v>40</v>
      </c>
      <c r="G19" s="379">
        <v>50</v>
      </c>
      <c r="H19" s="379">
        <v>28</v>
      </c>
      <c r="I19" s="379">
        <v>25</v>
      </c>
      <c r="J19" s="379">
        <v>31</v>
      </c>
      <c r="K19" s="379">
        <v>0</v>
      </c>
      <c r="L19" s="379">
        <v>0</v>
      </c>
      <c r="M19" s="379">
        <v>0</v>
      </c>
    </row>
    <row r="20" spans="1:13" s="18" customFormat="1" ht="15" customHeight="1">
      <c r="A20" s="42" t="s">
        <v>176</v>
      </c>
      <c r="B20" s="379">
        <v>131</v>
      </c>
      <c r="C20" s="379">
        <v>189</v>
      </c>
      <c r="D20" s="379">
        <v>21</v>
      </c>
      <c r="E20" s="379">
        <v>361</v>
      </c>
      <c r="F20" s="379">
        <v>378</v>
      </c>
      <c r="G20" s="379">
        <v>49</v>
      </c>
      <c r="H20" s="379">
        <v>258</v>
      </c>
      <c r="I20" s="379">
        <v>256</v>
      </c>
      <c r="J20" s="379">
        <v>483</v>
      </c>
      <c r="K20" s="379">
        <v>0</v>
      </c>
      <c r="L20" s="379">
        <v>0</v>
      </c>
      <c r="M20" s="379">
        <v>0</v>
      </c>
    </row>
    <row r="21" spans="1:13" s="18" customFormat="1" ht="15" customHeight="1">
      <c r="A21" s="42" t="s">
        <v>177</v>
      </c>
      <c r="B21" s="379">
        <v>70</v>
      </c>
      <c r="C21" s="379">
        <v>79</v>
      </c>
      <c r="D21" s="379">
        <v>76</v>
      </c>
      <c r="E21" s="379">
        <v>0</v>
      </c>
      <c r="F21" s="379">
        <v>0</v>
      </c>
      <c r="G21" s="379">
        <v>0</v>
      </c>
      <c r="H21" s="379">
        <v>164</v>
      </c>
      <c r="I21" s="379">
        <v>233</v>
      </c>
      <c r="J21" s="379">
        <v>675</v>
      </c>
      <c r="K21" s="379">
        <v>0</v>
      </c>
      <c r="L21" s="379">
        <v>0</v>
      </c>
      <c r="M21" s="379">
        <v>0</v>
      </c>
    </row>
    <row r="22" spans="1:13" s="18" customFormat="1" ht="15" customHeight="1">
      <c r="A22" s="42" t="s">
        <v>178</v>
      </c>
      <c r="B22" s="379">
        <v>42</v>
      </c>
      <c r="C22" s="379">
        <v>42</v>
      </c>
      <c r="D22" s="379">
        <v>15</v>
      </c>
      <c r="E22" s="379">
        <v>15</v>
      </c>
      <c r="F22" s="379">
        <v>20</v>
      </c>
      <c r="G22" s="379">
        <v>3</v>
      </c>
      <c r="H22" s="379">
        <v>21</v>
      </c>
      <c r="I22" s="379">
        <v>29</v>
      </c>
      <c r="J22" s="379">
        <v>17</v>
      </c>
      <c r="K22" s="379">
        <v>0</v>
      </c>
      <c r="L22" s="379">
        <v>0</v>
      </c>
      <c r="M22" s="379">
        <v>0</v>
      </c>
    </row>
    <row r="23" spans="1:13" s="18" customFormat="1" ht="15" customHeight="1">
      <c r="A23" s="42" t="s">
        <v>179</v>
      </c>
      <c r="B23" s="379">
        <v>18</v>
      </c>
      <c r="C23" s="379">
        <v>16</v>
      </c>
      <c r="D23" s="379">
        <v>8</v>
      </c>
      <c r="E23" s="379">
        <v>8</v>
      </c>
      <c r="F23" s="379">
        <v>9</v>
      </c>
      <c r="G23" s="379">
        <v>7</v>
      </c>
      <c r="H23" s="379">
        <v>18</v>
      </c>
      <c r="I23" s="379">
        <v>20</v>
      </c>
      <c r="J23" s="379">
        <v>18</v>
      </c>
      <c r="K23" s="379">
        <v>0</v>
      </c>
      <c r="L23" s="379">
        <v>0</v>
      </c>
      <c r="M23" s="379">
        <v>0</v>
      </c>
    </row>
    <row r="24" spans="1:13" s="18" customFormat="1" ht="15" customHeight="1">
      <c r="A24" s="300" t="s">
        <v>180</v>
      </c>
      <c r="B24" s="367"/>
      <c r="C24" s="367"/>
      <c r="D24" s="367"/>
      <c r="E24" s="367"/>
      <c r="F24" s="367"/>
      <c r="G24" s="367"/>
      <c r="H24" s="371"/>
      <c r="I24" s="371"/>
      <c r="J24" s="371"/>
      <c r="K24" s="371"/>
      <c r="L24" s="371"/>
      <c r="M24" s="371"/>
    </row>
    <row r="25" spans="1:13" s="17" customFormat="1" ht="10.5" customHeight="1" thickBot="1">
      <c r="A25" s="44" t="s">
        <v>167</v>
      </c>
      <c r="B25" s="374">
        <f>SUM(B12:B24)</f>
        <v>2153</v>
      </c>
      <c r="C25" s="374">
        <f aca="true" t="shared" si="1" ref="C25:M25">SUM(C12:C24)</f>
        <v>2486</v>
      </c>
      <c r="D25" s="374">
        <f t="shared" si="1"/>
        <v>1140</v>
      </c>
      <c r="E25" s="374">
        <f t="shared" si="1"/>
        <v>2790</v>
      </c>
      <c r="F25" s="374">
        <f t="shared" si="1"/>
        <v>2859</v>
      </c>
      <c r="G25" s="374">
        <f t="shared" si="1"/>
        <v>1613</v>
      </c>
      <c r="H25" s="374">
        <f t="shared" si="1"/>
        <v>2475</v>
      </c>
      <c r="I25" s="374">
        <f t="shared" si="1"/>
        <v>2941</v>
      </c>
      <c r="J25" s="374">
        <f t="shared" si="1"/>
        <v>3823</v>
      </c>
      <c r="K25" s="374">
        <f t="shared" si="1"/>
        <v>45</v>
      </c>
      <c r="L25" s="374">
        <f t="shared" si="1"/>
        <v>43</v>
      </c>
      <c r="M25" s="374">
        <f t="shared" si="1"/>
        <v>13</v>
      </c>
    </row>
    <row r="26" spans="1:13" ht="13.5" thickTop="1">
      <c r="A26" s="42" t="s">
        <v>186</v>
      </c>
      <c r="B26" s="379">
        <v>50</v>
      </c>
      <c r="C26" s="379">
        <v>158</v>
      </c>
      <c r="D26" s="379">
        <v>77</v>
      </c>
      <c r="E26" s="379">
        <v>11</v>
      </c>
      <c r="F26" s="379">
        <v>6</v>
      </c>
      <c r="G26" s="379">
        <v>34</v>
      </c>
      <c r="H26" s="379">
        <v>1</v>
      </c>
      <c r="I26" s="379">
        <v>15</v>
      </c>
      <c r="J26" s="379">
        <v>20</v>
      </c>
      <c r="K26" s="379">
        <v>0</v>
      </c>
      <c r="L26" s="379">
        <v>0</v>
      </c>
      <c r="M26" s="379">
        <v>0</v>
      </c>
    </row>
    <row r="27" spans="1:13" ht="12.75">
      <c r="A27" s="42" t="s">
        <v>187</v>
      </c>
      <c r="B27" s="379">
        <v>63</v>
      </c>
      <c r="C27" s="379">
        <v>28</v>
      </c>
      <c r="D27" s="379">
        <v>96</v>
      </c>
      <c r="E27" s="379">
        <v>36</v>
      </c>
      <c r="F27" s="379">
        <v>13</v>
      </c>
      <c r="G27" s="379">
        <v>106</v>
      </c>
      <c r="H27" s="379">
        <v>45</v>
      </c>
      <c r="I27" s="379">
        <v>41</v>
      </c>
      <c r="J27" s="379">
        <v>179</v>
      </c>
      <c r="K27" s="379">
        <v>0</v>
      </c>
      <c r="L27" s="379">
        <v>0</v>
      </c>
      <c r="M27" s="379">
        <v>0</v>
      </c>
    </row>
    <row r="28" spans="1:13" ht="12.75">
      <c r="A28" s="561" t="s">
        <v>456</v>
      </c>
      <c r="B28" s="379">
        <v>67</v>
      </c>
      <c r="C28" s="379">
        <v>73</v>
      </c>
      <c r="D28" s="379">
        <v>63</v>
      </c>
      <c r="E28" s="379">
        <v>32</v>
      </c>
      <c r="F28" s="379">
        <v>26</v>
      </c>
      <c r="G28" s="379">
        <v>39</v>
      </c>
      <c r="H28" s="379">
        <v>49</v>
      </c>
      <c r="I28" s="379">
        <v>51</v>
      </c>
      <c r="J28" s="379">
        <v>58</v>
      </c>
      <c r="K28" s="379">
        <v>0</v>
      </c>
      <c r="L28" s="379">
        <v>0</v>
      </c>
      <c r="M28" s="379">
        <v>0</v>
      </c>
    </row>
    <row r="29" spans="1:13" ht="12.75">
      <c r="A29" s="561" t="s">
        <v>461</v>
      </c>
      <c r="B29" s="379">
        <v>197</v>
      </c>
      <c r="C29" s="379">
        <v>197</v>
      </c>
      <c r="D29" s="379">
        <v>153</v>
      </c>
      <c r="E29" s="379">
        <v>137</v>
      </c>
      <c r="F29" s="379">
        <v>148</v>
      </c>
      <c r="G29" s="379">
        <v>146</v>
      </c>
      <c r="H29" s="379">
        <v>68</v>
      </c>
      <c r="I29" s="379">
        <v>77</v>
      </c>
      <c r="J29" s="379">
        <v>102</v>
      </c>
      <c r="K29" s="379">
        <v>0</v>
      </c>
      <c r="L29" s="379">
        <v>0</v>
      </c>
      <c r="M29" s="379">
        <v>0</v>
      </c>
    </row>
    <row r="30" spans="1:13" ht="12.75">
      <c r="A30" s="42" t="s">
        <v>185</v>
      </c>
      <c r="B30" s="379">
        <v>286</v>
      </c>
      <c r="C30" s="379">
        <v>276</v>
      </c>
      <c r="D30" s="379">
        <v>585</v>
      </c>
      <c r="E30" s="379">
        <v>116</v>
      </c>
      <c r="F30" s="379">
        <v>145</v>
      </c>
      <c r="G30" s="379">
        <v>188</v>
      </c>
      <c r="H30" s="379">
        <v>173</v>
      </c>
      <c r="I30" s="379">
        <v>196</v>
      </c>
      <c r="J30" s="379">
        <v>495</v>
      </c>
      <c r="K30" s="379">
        <v>23</v>
      </c>
      <c r="L30" s="379">
        <v>24</v>
      </c>
      <c r="M30" s="379">
        <v>1</v>
      </c>
    </row>
    <row r="31" spans="1:13" ht="12.75">
      <c r="A31" s="561" t="s">
        <v>457</v>
      </c>
      <c r="B31" s="379">
        <v>47</v>
      </c>
      <c r="C31" s="379">
        <v>38</v>
      </c>
      <c r="D31" s="379">
        <v>28</v>
      </c>
      <c r="E31" s="379">
        <v>18</v>
      </c>
      <c r="F31" s="379">
        <v>28</v>
      </c>
      <c r="G31" s="379">
        <v>19</v>
      </c>
      <c r="H31" s="379">
        <v>23</v>
      </c>
      <c r="I31" s="379">
        <v>22</v>
      </c>
      <c r="J31" s="379">
        <v>23</v>
      </c>
      <c r="K31" s="379">
        <v>0</v>
      </c>
      <c r="L31" s="379">
        <v>0</v>
      </c>
      <c r="M31" s="379">
        <v>0</v>
      </c>
    </row>
    <row r="32" spans="1:13" ht="12.75">
      <c r="A32" s="42" t="s">
        <v>188</v>
      </c>
      <c r="B32" s="367">
        <v>379</v>
      </c>
      <c r="C32" s="367">
        <v>378</v>
      </c>
      <c r="D32" s="367">
        <v>354</v>
      </c>
      <c r="E32" s="367">
        <v>114</v>
      </c>
      <c r="F32" s="367">
        <v>123</v>
      </c>
      <c r="G32" s="367">
        <v>170</v>
      </c>
      <c r="H32" s="371">
        <v>258</v>
      </c>
      <c r="I32" s="371">
        <v>182</v>
      </c>
      <c r="J32" s="371">
        <v>454</v>
      </c>
      <c r="K32" s="371">
        <v>0</v>
      </c>
      <c r="L32" s="371">
        <v>0</v>
      </c>
      <c r="M32" s="371">
        <v>0</v>
      </c>
    </row>
    <row r="33" spans="1:13" s="13" customFormat="1" ht="13.5" thickBot="1">
      <c r="A33" s="44" t="s">
        <v>184</v>
      </c>
      <c r="B33" s="374">
        <f>SUM(B26:B32)</f>
        <v>1089</v>
      </c>
      <c r="C33" s="374">
        <f aca="true" t="shared" si="2" ref="C33:M33">SUM(C26:C32)</f>
        <v>1148</v>
      </c>
      <c r="D33" s="374">
        <f t="shared" si="2"/>
        <v>1356</v>
      </c>
      <c r="E33" s="374">
        <f t="shared" si="2"/>
        <v>464</v>
      </c>
      <c r="F33" s="374">
        <f t="shared" si="2"/>
        <v>489</v>
      </c>
      <c r="G33" s="374">
        <f t="shared" si="2"/>
        <v>702</v>
      </c>
      <c r="H33" s="374">
        <f t="shared" si="2"/>
        <v>617</v>
      </c>
      <c r="I33" s="374">
        <f t="shared" si="2"/>
        <v>584</v>
      </c>
      <c r="J33" s="374">
        <f t="shared" si="2"/>
        <v>1331</v>
      </c>
      <c r="K33" s="374">
        <f t="shared" si="2"/>
        <v>23</v>
      </c>
      <c r="L33" s="374">
        <f t="shared" si="2"/>
        <v>24</v>
      </c>
      <c r="M33" s="374">
        <f t="shared" si="2"/>
        <v>1</v>
      </c>
    </row>
    <row r="34" spans="1:13" ht="13.5" thickTop="1">
      <c r="A34" s="42" t="s">
        <v>191</v>
      </c>
      <c r="B34" s="379">
        <v>64</v>
      </c>
      <c r="C34" s="379">
        <v>72</v>
      </c>
      <c r="D34" s="379">
        <v>39</v>
      </c>
      <c r="E34" s="379">
        <v>0</v>
      </c>
      <c r="F34" s="379">
        <v>0</v>
      </c>
      <c r="G34" s="379">
        <v>0</v>
      </c>
      <c r="H34" s="379">
        <v>75</v>
      </c>
      <c r="I34" s="379">
        <v>106</v>
      </c>
      <c r="J34" s="379">
        <v>163</v>
      </c>
      <c r="K34" s="379">
        <v>0</v>
      </c>
      <c r="L34" s="379">
        <v>0</v>
      </c>
      <c r="M34" s="379">
        <v>0</v>
      </c>
    </row>
    <row r="35" spans="1:13" ht="12.75">
      <c r="A35" s="42" t="s">
        <v>192</v>
      </c>
      <c r="B35" s="379">
        <v>38</v>
      </c>
      <c r="C35" s="379">
        <v>133</v>
      </c>
      <c r="D35" s="379">
        <v>43</v>
      </c>
      <c r="E35" s="379">
        <v>37</v>
      </c>
      <c r="F35" s="379">
        <v>62</v>
      </c>
      <c r="G35" s="379">
        <v>41</v>
      </c>
      <c r="H35" s="379">
        <v>69</v>
      </c>
      <c r="I35" s="379">
        <v>105</v>
      </c>
      <c r="J35" s="379">
        <v>153</v>
      </c>
      <c r="K35" s="379">
        <v>0</v>
      </c>
      <c r="L35" s="379">
        <v>0</v>
      </c>
      <c r="M35" s="379">
        <v>0</v>
      </c>
    </row>
    <row r="36" spans="1:13" ht="12.75">
      <c r="A36" s="42" t="s">
        <v>193</v>
      </c>
      <c r="B36" s="379">
        <v>31</v>
      </c>
      <c r="C36" s="379">
        <v>45</v>
      </c>
      <c r="D36" s="379">
        <v>42</v>
      </c>
      <c r="E36" s="379">
        <v>0</v>
      </c>
      <c r="F36" s="379">
        <v>0</v>
      </c>
      <c r="G36" s="379">
        <v>0</v>
      </c>
      <c r="H36" s="379">
        <v>104</v>
      </c>
      <c r="I36" s="379">
        <v>99</v>
      </c>
      <c r="J36" s="379">
        <v>165</v>
      </c>
      <c r="K36" s="379">
        <v>0</v>
      </c>
      <c r="L36" s="379">
        <v>0</v>
      </c>
      <c r="M36" s="379">
        <v>0</v>
      </c>
    </row>
    <row r="37" spans="1:13" ht="12.75">
      <c r="A37" s="565" t="s">
        <v>194</v>
      </c>
      <c r="B37" s="379">
        <v>134</v>
      </c>
      <c r="C37" s="379">
        <v>149</v>
      </c>
      <c r="D37" s="379">
        <v>22</v>
      </c>
      <c r="E37" s="379">
        <v>298</v>
      </c>
      <c r="F37" s="379">
        <v>291</v>
      </c>
      <c r="G37" s="379">
        <v>98</v>
      </c>
      <c r="H37" s="379">
        <v>119</v>
      </c>
      <c r="I37" s="379">
        <v>132</v>
      </c>
      <c r="J37" s="379">
        <v>206</v>
      </c>
      <c r="K37" s="379">
        <v>0</v>
      </c>
      <c r="L37" s="379">
        <v>0</v>
      </c>
      <c r="M37" s="379">
        <v>0</v>
      </c>
    </row>
    <row r="38" spans="1:13" ht="12.75">
      <c r="A38" s="42" t="s">
        <v>195</v>
      </c>
      <c r="B38" s="379">
        <v>92</v>
      </c>
      <c r="C38" s="379">
        <v>153</v>
      </c>
      <c r="D38" s="379">
        <v>157</v>
      </c>
      <c r="E38" s="379">
        <v>39</v>
      </c>
      <c r="F38" s="379">
        <v>44</v>
      </c>
      <c r="G38" s="379">
        <v>91</v>
      </c>
      <c r="H38" s="379">
        <v>69</v>
      </c>
      <c r="I38" s="379">
        <v>90</v>
      </c>
      <c r="J38" s="379">
        <v>202</v>
      </c>
      <c r="K38" s="379">
        <v>0</v>
      </c>
      <c r="L38" s="379">
        <v>0</v>
      </c>
      <c r="M38" s="379">
        <v>0</v>
      </c>
    </row>
    <row r="39" spans="1:13" ht="12.75">
      <c r="A39" s="42" t="s">
        <v>196</v>
      </c>
      <c r="B39" s="379">
        <v>86</v>
      </c>
      <c r="C39" s="379">
        <v>71</v>
      </c>
      <c r="D39" s="379">
        <v>160</v>
      </c>
      <c r="E39" s="379">
        <v>7</v>
      </c>
      <c r="F39" s="379">
        <v>12</v>
      </c>
      <c r="G39" s="379">
        <v>33</v>
      </c>
      <c r="H39" s="379">
        <v>31</v>
      </c>
      <c r="I39" s="379">
        <v>40</v>
      </c>
      <c r="J39" s="379">
        <v>144</v>
      </c>
      <c r="K39" s="379">
        <v>0</v>
      </c>
      <c r="L39" s="379">
        <v>0</v>
      </c>
      <c r="M39" s="379">
        <v>0</v>
      </c>
    </row>
    <row r="40" spans="1:13" ht="12.75">
      <c r="A40" s="42" t="s">
        <v>197</v>
      </c>
      <c r="B40" s="379">
        <v>8</v>
      </c>
      <c r="C40" s="379">
        <v>5</v>
      </c>
      <c r="D40" s="379">
        <v>8</v>
      </c>
      <c r="E40" s="379">
        <v>8</v>
      </c>
      <c r="F40" s="379">
        <v>18</v>
      </c>
      <c r="G40" s="379">
        <v>3</v>
      </c>
      <c r="H40" s="379">
        <v>19</v>
      </c>
      <c r="I40" s="379">
        <v>19</v>
      </c>
      <c r="J40" s="379">
        <v>17</v>
      </c>
      <c r="K40" s="379">
        <v>0</v>
      </c>
      <c r="L40" s="379">
        <v>0</v>
      </c>
      <c r="M40" s="379">
        <v>0</v>
      </c>
    </row>
    <row r="41" spans="1:13" ht="12.75">
      <c r="A41" s="565" t="s">
        <v>190</v>
      </c>
      <c r="B41" s="379">
        <v>137</v>
      </c>
      <c r="C41" s="379">
        <v>256</v>
      </c>
      <c r="D41" s="379">
        <v>316</v>
      </c>
      <c r="E41" s="379">
        <v>278</v>
      </c>
      <c r="F41" s="379">
        <v>346</v>
      </c>
      <c r="G41" s="379">
        <v>426</v>
      </c>
      <c r="H41" s="379">
        <v>288</v>
      </c>
      <c r="I41" s="379">
        <v>314</v>
      </c>
      <c r="J41" s="379">
        <v>1336</v>
      </c>
      <c r="K41" s="379">
        <v>19</v>
      </c>
      <c r="L41" s="379">
        <v>35</v>
      </c>
      <c r="M41" s="379">
        <v>41</v>
      </c>
    </row>
    <row r="42" spans="1:13" ht="12.75">
      <c r="A42" s="42" t="s">
        <v>198</v>
      </c>
      <c r="B42" s="379">
        <v>3</v>
      </c>
      <c r="C42" s="379">
        <v>4</v>
      </c>
      <c r="D42" s="379">
        <v>0</v>
      </c>
      <c r="E42" s="379">
        <v>1</v>
      </c>
      <c r="F42" s="379">
        <v>1</v>
      </c>
      <c r="G42" s="379">
        <v>4</v>
      </c>
      <c r="H42" s="379">
        <v>5</v>
      </c>
      <c r="I42" s="379">
        <v>6</v>
      </c>
      <c r="J42" s="379">
        <v>1</v>
      </c>
      <c r="K42" s="379">
        <v>0</v>
      </c>
      <c r="L42" s="379">
        <v>0</v>
      </c>
      <c r="M42" s="379">
        <v>0</v>
      </c>
    </row>
    <row r="43" spans="1:13" s="13" customFormat="1" ht="13.5" thickBot="1">
      <c r="A43" s="44" t="s">
        <v>189</v>
      </c>
      <c r="B43" s="382">
        <f>SUM(B34:B42)</f>
        <v>593</v>
      </c>
      <c r="C43" s="382">
        <f aca="true" t="shared" si="3" ref="C43:M43">SUM(C34:C42)</f>
        <v>888</v>
      </c>
      <c r="D43" s="382">
        <f t="shared" si="3"/>
        <v>787</v>
      </c>
      <c r="E43" s="382">
        <f t="shared" si="3"/>
        <v>668</v>
      </c>
      <c r="F43" s="382">
        <f t="shared" si="3"/>
        <v>774</v>
      </c>
      <c r="G43" s="382">
        <f t="shared" si="3"/>
        <v>696</v>
      </c>
      <c r="H43" s="382">
        <f t="shared" si="3"/>
        <v>779</v>
      </c>
      <c r="I43" s="382">
        <f t="shared" si="3"/>
        <v>911</v>
      </c>
      <c r="J43" s="382">
        <f t="shared" si="3"/>
        <v>2387</v>
      </c>
      <c r="K43" s="382">
        <f t="shared" si="3"/>
        <v>19</v>
      </c>
      <c r="L43" s="382">
        <f t="shared" si="3"/>
        <v>35</v>
      </c>
      <c r="M43" s="382">
        <f t="shared" si="3"/>
        <v>41</v>
      </c>
    </row>
    <row r="44" spans="1:13" s="13" customFormat="1" ht="13.5" thickTop="1">
      <c r="A44" s="44" t="s">
        <v>5</v>
      </c>
      <c r="B44" s="383">
        <f>SUM(B11+B25+B33+B43)</f>
        <v>3993</v>
      </c>
      <c r="C44" s="383">
        <f aca="true" t="shared" si="4" ref="C44:M44">SUM(C11+C25+C33+C43)</f>
        <v>4693</v>
      </c>
      <c r="D44" s="383">
        <f t="shared" si="4"/>
        <v>3432</v>
      </c>
      <c r="E44" s="383">
        <f t="shared" si="4"/>
        <v>4071</v>
      </c>
      <c r="F44" s="383">
        <f t="shared" si="4"/>
        <v>4295</v>
      </c>
      <c r="G44" s="383">
        <f t="shared" si="4"/>
        <v>3214</v>
      </c>
      <c r="H44" s="383">
        <f t="shared" si="4"/>
        <v>4121</v>
      </c>
      <c r="I44" s="383">
        <f t="shared" si="4"/>
        <v>4728</v>
      </c>
      <c r="J44" s="383">
        <f t="shared" si="4"/>
        <v>7950</v>
      </c>
      <c r="K44" s="383">
        <f t="shared" si="4"/>
        <v>87</v>
      </c>
      <c r="L44" s="383">
        <f t="shared" si="4"/>
        <v>102</v>
      </c>
      <c r="M44" s="383">
        <f t="shared" si="4"/>
        <v>55</v>
      </c>
    </row>
    <row r="45" ht="12.75">
      <c r="A45" s="53" t="s">
        <v>219</v>
      </c>
    </row>
    <row r="46" ht="12.75">
      <c r="A46" s="562" t="s">
        <v>462</v>
      </c>
    </row>
    <row r="47" spans="1:13" ht="12.75">
      <c r="A47" s="535" t="s">
        <v>463</v>
      </c>
      <c r="B47" s="563"/>
      <c r="C47" s="563"/>
      <c r="D47" s="563"/>
      <c r="E47" s="563"/>
      <c r="F47" s="563"/>
      <c r="G47" s="563"/>
      <c r="H47" s="563"/>
      <c r="I47" s="563"/>
      <c r="J47" s="563"/>
      <c r="K47" s="563"/>
      <c r="L47" s="563"/>
      <c r="M47" s="563"/>
    </row>
    <row r="48" ht="12.75">
      <c r="A48" s="325" t="s">
        <v>464</v>
      </c>
    </row>
  </sheetData>
  <sheetProtection/>
  <mergeCells count="5">
    <mergeCell ref="E3:G3"/>
    <mergeCell ref="H3:J3"/>
    <mergeCell ref="K3:M3"/>
    <mergeCell ref="A3:A4"/>
    <mergeCell ref="B3:D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Q48"/>
  <sheetViews>
    <sheetView zoomScale="90" zoomScaleNormal="90" zoomScalePageLayoutView="0" workbookViewId="0" topLeftCell="A13">
      <selection activeCell="S7" sqref="S7"/>
    </sheetView>
  </sheetViews>
  <sheetFormatPr defaultColWidth="9.140625" defaultRowHeight="12.75"/>
  <cols>
    <col min="1" max="1" width="30.7109375" style="12" customWidth="1"/>
    <col min="2" max="2" width="7.00390625" style="12" customWidth="1"/>
    <col min="3" max="17" width="7.00390625" style="294" customWidth="1"/>
    <col min="18" max="16384" width="9.140625" style="12" customWidth="1"/>
  </cols>
  <sheetData>
    <row r="1" spans="1:17" ht="31.5" customHeight="1">
      <c r="A1" s="457" t="s">
        <v>486</v>
      </c>
      <c r="B1" s="27"/>
      <c r="C1" s="292"/>
      <c r="D1" s="292"/>
      <c r="E1" s="292"/>
      <c r="F1" s="292"/>
      <c r="G1" s="292"/>
      <c r="H1" s="292"/>
      <c r="I1" s="292"/>
      <c r="J1" s="292"/>
      <c r="K1" s="292"/>
      <c r="L1" s="292"/>
      <c r="M1" s="292"/>
      <c r="N1" s="292"/>
      <c r="O1" s="292"/>
      <c r="P1" s="292"/>
      <c r="Q1" s="292"/>
    </row>
    <row r="2" spans="1:14" ht="15" customHeight="1">
      <c r="A2" s="27"/>
      <c r="B2" s="27"/>
      <c r="C2" s="293"/>
      <c r="D2" s="293"/>
      <c r="E2" s="293"/>
      <c r="F2" s="293"/>
      <c r="G2" s="293"/>
      <c r="H2" s="293"/>
      <c r="I2" s="293"/>
      <c r="J2" s="293"/>
      <c r="K2" s="293"/>
      <c r="L2" s="293"/>
      <c r="M2" s="293"/>
      <c r="N2" s="296"/>
    </row>
    <row r="3" spans="1:17" s="18" customFormat="1" ht="29.25" customHeight="1">
      <c r="A3" s="789" t="s">
        <v>287</v>
      </c>
      <c r="B3" s="786" t="s">
        <v>288</v>
      </c>
      <c r="C3" s="787"/>
      <c r="D3" s="787"/>
      <c r="E3" s="788"/>
      <c r="F3" s="786" t="s">
        <v>289</v>
      </c>
      <c r="G3" s="787"/>
      <c r="H3" s="787"/>
      <c r="I3" s="788"/>
      <c r="J3" s="786" t="s">
        <v>290</v>
      </c>
      <c r="K3" s="787"/>
      <c r="L3" s="787"/>
      <c r="M3" s="788"/>
      <c r="N3" s="786" t="s">
        <v>291</v>
      </c>
      <c r="O3" s="787"/>
      <c r="P3" s="787"/>
      <c r="Q3" s="788"/>
    </row>
    <row r="4" spans="1:17" s="18" customFormat="1" ht="21" customHeight="1">
      <c r="A4" s="790"/>
      <c r="B4" s="297" t="s">
        <v>222</v>
      </c>
      <c r="C4" s="297" t="s">
        <v>1</v>
      </c>
      <c r="D4" s="297" t="s">
        <v>2</v>
      </c>
      <c r="E4" s="297" t="s">
        <v>3</v>
      </c>
      <c r="F4" s="297" t="s">
        <v>222</v>
      </c>
      <c r="G4" s="295" t="s">
        <v>1</v>
      </c>
      <c r="H4" s="295" t="s">
        <v>2</v>
      </c>
      <c r="I4" s="295" t="s">
        <v>3</v>
      </c>
      <c r="J4" s="297" t="s">
        <v>222</v>
      </c>
      <c r="K4" s="295" t="s">
        <v>1</v>
      </c>
      <c r="L4" s="295" t="s">
        <v>2</v>
      </c>
      <c r="M4" s="295" t="s">
        <v>3</v>
      </c>
      <c r="N4" s="297" t="s">
        <v>222</v>
      </c>
      <c r="O4" s="295" t="s">
        <v>1</v>
      </c>
      <c r="P4" s="295" t="s">
        <v>2</v>
      </c>
      <c r="Q4" s="295" t="s">
        <v>3</v>
      </c>
    </row>
    <row r="5" spans="1:17" s="18" customFormat="1" ht="15" customHeight="1">
      <c r="A5" s="42" t="s">
        <v>161</v>
      </c>
      <c r="B5" s="42">
        <f>E5+D5-C5</f>
        <v>43</v>
      </c>
      <c r="C5" s="29">
        <v>115</v>
      </c>
      <c r="D5" s="29">
        <v>102</v>
      </c>
      <c r="E5" s="29">
        <v>56</v>
      </c>
      <c r="F5" s="42">
        <f aca="true" t="shared" si="0" ref="F5:F10">I5+H5-G5</f>
        <v>40</v>
      </c>
      <c r="G5" s="29">
        <v>122</v>
      </c>
      <c r="H5" s="29">
        <v>107</v>
      </c>
      <c r="I5" s="29">
        <v>55</v>
      </c>
      <c r="J5" s="42">
        <f>M5+L5-K5</f>
        <v>148</v>
      </c>
      <c r="K5" s="29">
        <v>206</v>
      </c>
      <c r="L5" s="29">
        <v>217</v>
      </c>
      <c r="M5" s="29">
        <v>137</v>
      </c>
      <c r="N5" s="42">
        <f>Q5+P5-O5</f>
        <v>0</v>
      </c>
      <c r="O5" s="379">
        <v>0</v>
      </c>
      <c r="P5" s="379">
        <v>0</v>
      </c>
      <c r="Q5" s="379">
        <v>0</v>
      </c>
    </row>
    <row r="6" spans="1:17" s="18" customFormat="1" ht="15" customHeight="1">
      <c r="A6" s="42" t="s">
        <v>162</v>
      </c>
      <c r="B6" s="42">
        <f aca="true" t="shared" si="1" ref="B6:B44">E6+D6-C6</f>
        <v>10</v>
      </c>
      <c r="C6" s="379">
        <v>19</v>
      </c>
      <c r="D6" s="379">
        <v>26</v>
      </c>
      <c r="E6" s="379">
        <v>3</v>
      </c>
      <c r="F6" s="42">
        <f t="shared" si="0"/>
        <v>20</v>
      </c>
      <c r="G6" s="379">
        <v>19</v>
      </c>
      <c r="H6" s="379">
        <v>21</v>
      </c>
      <c r="I6" s="379">
        <v>18</v>
      </c>
      <c r="J6" s="42">
        <f aca="true" t="shared" si="2" ref="J6:J44">M6+L6-K6</f>
        <v>50</v>
      </c>
      <c r="K6" s="379">
        <v>20</v>
      </c>
      <c r="L6" s="379">
        <v>46</v>
      </c>
      <c r="M6" s="379">
        <v>24</v>
      </c>
      <c r="N6" s="42">
        <f aca="true" t="shared" si="3" ref="N6:N44">Q6+P6-O6</f>
        <v>0</v>
      </c>
      <c r="O6" s="379">
        <v>0</v>
      </c>
      <c r="P6" s="379">
        <v>0</v>
      </c>
      <c r="Q6" s="379">
        <v>0</v>
      </c>
    </row>
    <row r="7" spans="1:17" s="18" customFormat="1" ht="24.75" customHeight="1">
      <c r="A7" s="42" t="s">
        <v>163</v>
      </c>
      <c r="B7" s="42">
        <f t="shared" si="1"/>
        <v>56</v>
      </c>
      <c r="C7" s="379">
        <v>4</v>
      </c>
      <c r="D7" s="379">
        <v>1</v>
      </c>
      <c r="E7" s="379">
        <v>59</v>
      </c>
      <c r="F7" s="42">
        <f t="shared" si="0"/>
        <v>6</v>
      </c>
      <c r="G7" s="379">
        <v>2</v>
      </c>
      <c r="H7" s="379">
        <v>3</v>
      </c>
      <c r="I7" s="379">
        <v>5</v>
      </c>
      <c r="J7" s="42">
        <f t="shared" si="2"/>
        <v>37</v>
      </c>
      <c r="K7" s="379">
        <v>2</v>
      </c>
      <c r="L7" s="379">
        <v>5</v>
      </c>
      <c r="M7" s="379">
        <v>34</v>
      </c>
      <c r="N7" s="42">
        <f t="shared" si="3"/>
        <v>0</v>
      </c>
      <c r="O7" s="379">
        <v>0</v>
      </c>
      <c r="P7" s="379">
        <v>0</v>
      </c>
      <c r="Q7" s="379">
        <v>0</v>
      </c>
    </row>
    <row r="8" spans="1:17" s="18" customFormat="1" ht="15" customHeight="1">
      <c r="A8" s="43" t="s">
        <v>164</v>
      </c>
      <c r="B8" s="42">
        <f t="shared" si="1"/>
        <v>0</v>
      </c>
      <c r="C8" s="379"/>
      <c r="D8" s="379"/>
      <c r="E8" s="379"/>
      <c r="F8" s="42">
        <f t="shared" si="0"/>
        <v>0</v>
      </c>
      <c r="G8" s="379"/>
      <c r="H8" s="379"/>
      <c r="I8" s="379"/>
      <c r="J8" s="42">
        <f t="shared" si="2"/>
        <v>0</v>
      </c>
      <c r="K8" s="379"/>
      <c r="L8" s="379"/>
      <c r="M8" s="379"/>
      <c r="N8" s="42">
        <f t="shared" si="3"/>
        <v>0</v>
      </c>
      <c r="O8" s="379"/>
      <c r="P8" s="379"/>
      <c r="Q8" s="379"/>
    </row>
    <row r="9" spans="1:17" s="18" customFormat="1" ht="15" customHeight="1">
      <c r="A9" s="42" t="s">
        <v>165</v>
      </c>
      <c r="B9" s="42">
        <f t="shared" si="1"/>
        <v>29</v>
      </c>
      <c r="C9" s="379">
        <v>6</v>
      </c>
      <c r="D9" s="379">
        <v>8</v>
      </c>
      <c r="E9" s="379">
        <v>27</v>
      </c>
      <c r="F9" s="42">
        <f t="shared" si="0"/>
        <v>161</v>
      </c>
      <c r="G9" s="379">
        <v>6</v>
      </c>
      <c r="H9" s="379">
        <v>42</v>
      </c>
      <c r="I9" s="379">
        <v>125</v>
      </c>
      <c r="J9" s="42">
        <f t="shared" si="2"/>
        <v>202</v>
      </c>
      <c r="K9" s="379">
        <v>22</v>
      </c>
      <c r="L9" s="379">
        <v>18</v>
      </c>
      <c r="M9" s="379">
        <v>206</v>
      </c>
      <c r="N9" s="42">
        <f t="shared" si="3"/>
        <v>0</v>
      </c>
      <c r="O9" s="379">
        <v>0</v>
      </c>
      <c r="P9" s="379">
        <v>0</v>
      </c>
      <c r="Q9" s="379">
        <v>0</v>
      </c>
    </row>
    <row r="10" spans="1:17" s="18" customFormat="1" ht="15" customHeight="1">
      <c r="A10" s="42" t="s">
        <v>166</v>
      </c>
      <c r="B10" s="42">
        <f t="shared" si="1"/>
        <v>24</v>
      </c>
      <c r="C10" s="379">
        <v>14</v>
      </c>
      <c r="D10" s="379">
        <v>34</v>
      </c>
      <c r="E10" s="379">
        <v>4</v>
      </c>
      <c r="F10" s="42">
        <f t="shared" si="0"/>
        <v>0</v>
      </c>
      <c r="G10" s="379">
        <v>0</v>
      </c>
      <c r="H10" s="379">
        <v>0</v>
      </c>
      <c r="I10" s="379">
        <v>0</v>
      </c>
      <c r="J10" s="42">
        <f t="shared" si="2"/>
        <v>14</v>
      </c>
      <c r="K10" s="379">
        <v>0</v>
      </c>
      <c r="L10" s="379">
        <v>6</v>
      </c>
      <c r="M10" s="379">
        <v>8</v>
      </c>
      <c r="N10" s="42">
        <f t="shared" si="3"/>
        <v>0</v>
      </c>
      <c r="O10" s="379">
        <v>0</v>
      </c>
      <c r="P10" s="379">
        <v>0</v>
      </c>
      <c r="Q10" s="379">
        <v>0</v>
      </c>
    </row>
    <row r="11" spans="1:17" s="17" customFormat="1" ht="15" customHeight="1" thickBot="1">
      <c r="A11" s="44" t="s">
        <v>160</v>
      </c>
      <c r="B11" s="374">
        <f t="shared" si="1"/>
        <v>162</v>
      </c>
      <c r="C11" s="374">
        <f>SUM(C5:C10)</f>
        <v>158</v>
      </c>
      <c r="D11" s="374">
        <f>SUM(D5:D10)</f>
        <v>171</v>
      </c>
      <c r="E11" s="374">
        <f>SUM(E5:E10)</f>
        <v>149</v>
      </c>
      <c r="F11" s="374">
        <f aca="true" t="shared" si="4" ref="F11:F44">I11+H11-G11</f>
        <v>227</v>
      </c>
      <c r="G11" s="374">
        <f>SUM(G5:G10)</f>
        <v>149</v>
      </c>
      <c r="H11" s="374">
        <f>SUM(H5:H10)</f>
        <v>173</v>
      </c>
      <c r="I11" s="374">
        <f>SUM(I5:I10)</f>
        <v>203</v>
      </c>
      <c r="J11" s="374">
        <f t="shared" si="2"/>
        <v>451</v>
      </c>
      <c r="K11" s="374">
        <f>SUM(K5:K10)</f>
        <v>250</v>
      </c>
      <c r="L11" s="374">
        <f>SUM(L5:L10)</f>
        <v>292</v>
      </c>
      <c r="M11" s="374">
        <f>SUM(M5:M10)</f>
        <v>409</v>
      </c>
      <c r="N11" s="374">
        <f t="shared" si="3"/>
        <v>0</v>
      </c>
      <c r="O11" s="374">
        <v>0</v>
      </c>
      <c r="P11" s="374">
        <v>0</v>
      </c>
      <c r="Q11" s="374">
        <v>0</v>
      </c>
    </row>
    <row r="12" spans="1:17" s="18" customFormat="1" ht="15" customHeight="1" thickTop="1">
      <c r="A12" s="42" t="s">
        <v>169</v>
      </c>
      <c r="B12" s="42">
        <f t="shared" si="1"/>
        <v>405</v>
      </c>
      <c r="C12" s="380">
        <v>366</v>
      </c>
      <c r="D12" s="380">
        <v>470</v>
      </c>
      <c r="E12" s="380">
        <v>301</v>
      </c>
      <c r="F12" s="42">
        <f t="shared" si="4"/>
        <v>10</v>
      </c>
      <c r="G12" s="380">
        <v>346</v>
      </c>
      <c r="H12" s="380">
        <v>196</v>
      </c>
      <c r="I12" s="380">
        <v>160</v>
      </c>
      <c r="J12" s="42">
        <f t="shared" si="2"/>
        <v>305</v>
      </c>
      <c r="K12" s="384">
        <v>450</v>
      </c>
      <c r="L12" s="384">
        <v>381</v>
      </c>
      <c r="M12" s="384">
        <v>374</v>
      </c>
      <c r="N12" s="42">
        <f t="shared" si="3"/>
        <v>0</v>
      </c>
      <c r="O12" s="384">
        <v>0</v>
      </c>
      <c r="P12" s="384">
        <v>0</v>
      </c>
      <c r="Q12" s="384">
        <v>0</v>
      </c>
    </row>
    <row r="13" spans="1:17" s="18" customFormat="1" ht="15" customHeight="1">
      <c r="A13" s="42" t="s">
        <v>170</v>
      </c>
      <c r="B13" s="42">
        <f t="shared" si="1"/>
        <v>10</v>
      </c>
      <c r="C13" s="379">
        <v>11</v>
      </c>
      <c r="D13" s="379">
        <v>12</v>
      </c>
      <c r="E13" s="379">
        <v>9</v>
      </c>
      <c r="F13" s="42">
        <f t="shared" si="4"/>
        <v>70</v>
      </c>
      <c r="G13" s="379">
        <v>30</v>
      </c>
      <c r="H13" s="379">
        <v>21</v>
      </c>
      <c r="I13" s="379">
        <v>79</v>
      </c>
      <c r="J13" s="42">
        <f t="shared" si="2"/>
        <v>333</v>
      </c>
      <c r="K13" s="379">
        <v>101</v>
      </c>
      <c r="L13" s="379">
        <v>141</v>
      </c>
      <c r="M13" s="379">
        <v>293</v>
      </c>
      <c r="N13" s="42">
        <f t="shared" si="3"/>
        <v>0</v>
      </c>
      <c r="O13" s="379">
        <v>0</v>
      </c>
      <c r="P13" s="379">
        <v>0</v>
      </c>
      <c r="Q13" s="379">
        <v>0</v>
      </c>
    </row>
    <row r="14" spans="1:17" s="18" customFormat="1" ht="15" customHeight="1">
      <c r="A14" s="42" t="s">
        <v>171</v>
      </c>
      <c r="B14" s="42">
        <f t="shared" si="1"/>
        <v>46</v>
      </c>
      <c r="C14" s="379">
        <v>30</v>
      </c>
      <c r="D14" s="379">
        <v>34</v>
      </c>
      <c r="E14" s="379">
        <v>42</v>
      </c>
      <c r="F14" s="42">
        <f t="shared" si="4"/>
        <v>1</v>
      </c>
      <c r="G14" s="379">
        <v>46</v>
      </c>
      <c r="H14" s="379">
        <v>39</v>
      </c>
      <c r="I14" s="379">
        <v>8</v>
      </c>
      <c r="J14" s="42">
        <f t="shared" si="2"/>
        <v>214</v>
      </c>
      <c r="K14" s="379">
        <v>85</v>
      </c>
      <c r="L14" s="379">
        <v>122</v>
      </c>
      <c r="M14" s="379">
        <v>177</v>
      </c>
      <c r="N14" s="42">
        <f t="shared" si="3"/>
        <v>0</v>
      </c>
      <c r="O14" s="379">
        <v>0</v>
      </c>
      <c r="P14" s="379">
        <v>0</v>
      </c>
      <c r="Q14" s="379">
        <v>0</v>
      </c>
    </row>
    <row r="15" spans="1:17" s="18" customFormat="1" ht="15" customHeight="1">
      <c r="A15" s="42" t="s">
        <v>172</v>
      </c>
      <c r="B15" s="42">
        <f t="shared" si="1"/>
        <v>4</v>
      </c>
      <c r="C15" s="379">
        <v>11</v>
      </c>
      <c r="D15" s="379">
        <v>13</v>
      </c>
      <c r="E15" s="379">
        <v>2</v>
      </c>
      <c r="F15" s="42">
        <f t="shared" si="4"/>
        <v>54</v>
      </c>
      <c r="G15" s="379">
        <v>160</v>
      </c>
      <c r="H15" s="379">
        <v>183</v>
      </c>
      <c r="I15" s="379">
        <v>31</v>
      </c>
      <c r="J15" s="42">
        <f t="shared" si="2"/>
        <v>121</v>
      </c>
      <c r="K15" s="379">
        <v>117</v>
      </c>
      <c r="L15" s="379">
        <v>138</v>
      </c>
      <c r="M15" s="379">
        <v>100</v>
      </c>
      <c r="N15" s="42">
        <f t="shared" si="3"/>
        <v>0</v>
      </c>
      <c r="O15" s="379">
        <v>0</v>
      </c>
      <c r="P15" s="379">
        <v>0</v>
      </c>
      <c r="Q15" s="379">
        <v>0</v>
      </c>
    </row>
    <row r="16" spans="1:17" s="18" customFormat="1" ht="15" customHeight="1">
      <c r="A16" s="42" t="s">
        <v>173</v>
      </c>
      <c r="B16" s="42">
        <f t="shared" si="1"/>
        <v>14</v>
      </c>
      <c r="C16" s="379">
        <v>27</v>
      </c>
      <c r="D16" s="379">
        <v>34</v>
      </c>
      <c r="E16" s="379">
        <v>7</v>
      </c>
      <c r="F16" s="42">
        <f t="shared" si="4"/>
        <v>35</v>
      </c>
      <c r="G16" s="379">
        <v>35</v>
      </c>
      <c r="H16" s="379">
        <v>44</v>
      </c>
      <c r="I16" s="379">
        <v>26</v>
      </c>
      <c r="J16" s="42">
        <f t="shared" si="2"/>
        <v>119</v>
      </c>
      <c r="K16" s="379">
        <v>62</v>
      </c>
      <c r="L16" s="379">
        <v>112</v>
      </c>
      <c r="M16" s="379">
        <v>69</v>
      </c>
      <c r="N16" s="42">
        <f t="shared" si="3"/>
        <v>0</v>
      </c>
      <c r="O16" s="379">
        <v>0</v>
      </c>
      <c r="P16" s="379">
        <v>0</v>
      </c>
      <c r="Q16" s="379">
        <v>0</v>
      </c>
    </row>
    <row r="17" spans="1:17" s="18" customFormat="1" ht="15" customHeight="1">
      <c r="A17" s="42" t="s">
        <v>168</v>
      </c>
      <c r="B17" s="42">
        <f t="shared" si="1"/>
        <v>788</v>
      </c>
      <c r="C17" s="379">
        <v>1416</v>
      </c>
      <c r="D17" s="379">
        <v>1569</v>
      </c>
      <c r="E17" s="379">
        <v>635</v>
      </c>
      <c r="F17" s="42">
        <f t="shared" si="4"/>
        <v>1390</v>
      </c>
      <c r="G17" s="379">
        <v>1739</v>
      </c>
      <c r="H17" s="379">
        <v>1929</v>
      </c>
      <c r="I17" s="379">
        <v>1200</v>
      </c>
      <c r="J17" s="42">
        <f t="shared" si="2"/>
        <v>1899</v>
      </c>
      <c r="K17" s="379">
        <v>1171</v>
      </c>
      <c r="L17" s="379">
        <v>1484</v>
      </c>
      <c r="M17" s="379">
        <v>1586</v>
      </c>
      <c r="N17" s="42">
        <f t="shared" si="3"/>
        <v>11</v>
      </c>
      <c r="O17" s="379">
        <v>45</v>
      </c>
      <c r="P17" s="379">
        <v>43</v>
      </c>
      <c r="Q17" s="379">
        <v>13</v>
      </c>
    </row>
    <row r="18" spans="1:17" s="18" customFormat="1" ht="15" customHeight="1">
      <c r="A18" s="43" t="s">
        <v>174</v>
      </c>
      <c r="B18" s="42">
        <f t="shared" si="1"/>
        <v>0</v>
      </c>
      <c r="C18" s="379"/>
      <c r="D18" s="379"/>
      <c r="E18" s="379"/>
      <c r="F18" s="42">
        <f t="shared" si="4"/>
        <v>0</v>
      </c>
      <c r="G18" s="379"/>
      <c r="H18" s="379"/>
      <c r="I18" s="379"/>
      <c r="J18" s="42">
        <f t="shared" si="2"/>
        <v>0</v>
      </c>
      <c r="K18" s="379"/>
      <c r="L18" s="379"/>
      <c r="M18" s="379"/>
      <c r="N18" s="42">
        <f t="shared" si="3"/>
        <v>0</v>
      </c>
      <c r="O18" s="379"/>
      <c r="P18" s="379"/>
      <c r="Q18" s="379"/>
    </row>
    <row r="19" spans="1:17" s="18" customFormat="1" ht="15" customHeight="1">
      <c r="A19" s="42" t="s">
        <v>175</v>
      </c>
      <c r="B19" s="42">
        <f t="shared" si="1"/>
        <v>21</v>
      </c>
      <c r="C19" s="379">
        <v>31</v>
      </c>
      <c r="D19" s="379">
        <v>28</v>
      </c>
      <c r="E19" s="379">
        <v>24</v>
      </c>
      <c r="F19" s="42">
        <f t="shared" si="4"/>
        <v>40</v>
      </c>
      <c r="G19" s="379">
        <v>50</v>
      </c>
      <c r="H19" s="379">
        <v>40</v>
      </c>
      <c r="I19" s="379">
        <v>50</v>
      </c>
      <c r="J19" s="42">
        <f t="shared" si="2"/>
        <v>28</v>
      </c>
      <c r="K19" s="379">
        <v>28</v>
      </c>
      <c r="L19" s="379">
        <v>25</v>
      </c>
      <c r="M19" s="379">
        <v>31</v>
      </c>
      <c r="N19" s="42">
        <f t="shared" si="3"/>
        <v>0</v>
      </c>
      <c r="O19" s="379">
        <v>0</v>
      </c>
      <c r="P19" s="379">
        <v>0</v>
      </c>
      <c r="Q19" s="379">
        <v>0</v>
      </c>
    </row>
    <row r="20" spans="1:17" s="18" customFormat="1" ht="15" customHeight="1">
      <c r="A20" s="42" t="s">
        <v>176</v>
      </c>
      <c r="B20" s="42">
        <f t="shared" si="1"/>
        <v>79</v>
      </c>
      <c r="C20" s="379">
        <v>131</v>
      </c>
      <c r="D20" s="379">
        <v>189</v>
      </c>
      <c r="E20" s="379">
        <v>21</v>
      </c>
      <c r="F20" s="42">
        <f t="shared" si="4"/>
        <v>66</v>
      </c>
      <c r="G20" s="379">
        <v>361</v>
      </c>
      <c r="H20" s="379">
        <v>378</v>
      </c>
      <c r="I20" s="379">
        <v>49</v>
      </c>
      <c r="J20" s="42">
        <f t="shared" si="2"/>
        <v>481</v>
      </c>
      <c r="K20" s="379">
        <v>258</v>
      </c>
      <c r="L20" s="379">
        <v>256</v>
      </c>
      <c r="M20" s="379">
        <v>483</v>
      </c>
      <c r="N20" s="42">
        <f t="shared" si="3"/>
        <v>0</v>
      </c>
      <c r="O20" s="379">
        <v>0</v>
      </c>
      <c r="P20" s="379">
        <v>0</v>
      </c>
      <c r="Q20" s="379">
        <v>0</v>
      </c>
    </row>
    <row r="21" spans="1:17" s="18" customFormat="1" ht="15" customHeight="1">
      <c r="A21" s="42" t="s">
        <v>177</v>
      </c>
      <c r="B21" s="42">
        <f t="shared" si="1"/>
        <v>85</v>
      </c>
      <c r="C21" s="379">
        <v>70</v>
      </c>
      <c r="D21" s="379">
        <v>79</v>
      </c>
      <c r="E21" s="379">
        <v>76</v>
      </c>
      <c r="F21" s="42">
        <f t="shared" si="4"/>
        <v>0</v>
      </c>
      <c r="G21" s="379">
        <v>0</v>
      </c>
      <c r="H21" s="379">
        <v>0</v>
      </c>
      <c r="I21" s="379">
        <v>0</v>
      </c>
      <c r="J21" s="42">
        <f t="shared" si="2"/>
        <v>744</v>
      </c>
      <c r="K21" s="379">
        <v>164</v>
      </c>
      <c r="L21" s="379">
        <v>233</v>
      </c>
      <c r="M21" s="379">
        <v>675</v>
      </c>
      <c r="N21" s="42">
        <f t="shared" si="3"/>
        <v>0</v>
      </c>
      <c r="O21" s="379">
        <v>0</v>
      </c>
      <c r="P21" s="379">
        <v>0</v>
      </c>
      <c r="Q21" s="379">
        <v>0</v>
      </c>
    </row>
    <row r="22" spans="1:17" s="18" customFormat="1" ht="15" customHeight="1">
      <c r="A22" s="42" t="s">
        <v>178</v>
      </c>
      <c r="B22" s="42">
        <f t="shared" si="1"/>
        <v>15</v>
      </c>
      <c r="C22" s="379">
        <v>42</v>
      </c>
      <c r="D22" s="379">
        <v>42</v>
      </c>
      <c r="E22" s="379">
        <v>15</v>
      </c>
      <c r="F22" s="42">
        <f t="shared" si="4"/>
        <v>8</v>
      </c>
      <c r="G22" s="379">
        <v>15</v>
      </c>
      <c r="H22" s="379">
        <v>20</v>
      </c>
      <c r="I22" s="379">
        <v>3</v>
      </c>
      <c r="J22" s="42">
        <f t="shared" si="2"/>
        <v>25</v>
      </c>
      <c r="K22" s="379">
        <v>21</v>
      </c>
      <c r="L22" s="379">
        <v>29</v>
      </c>
      <c r="M22" s="379">
        <v>17</v>
      </c>
      <c r="N22" s="42">
        <f t="shared" si="3"/>
        <v>0</v>
      </c>
      <c r="O22" s="379">
        <v>0</v>
      </c>
      <c r="P22" s="379">
        <v>0</v>
      </c>
      <c r="Q22" s="379">
        <v>0</v>
      </c>
    </row>
    <row r="23" spans="1:17" s="18" customFormat="1" ht="15" customHeight="1">
      <c r="A23" s="42" t="s">
        <v>179</v>
      </c>
      <c r="B23" s="42">
        <f t="shared" si="1"/>
        <v>6</v>
      </c>
      <c r="C23" s="379">
        <v>18</v>
      </c>
      <c r="D23" s="379">
        <v>16</v>
      </c>
      <c r="E23" s="379">
        <v>8</v>
      </c>
      <c r="F23" s="42">
        <f t="shared" si="4"/>
        <v>8</v>
      </c>
      <c r="G23" s="379">
        <v>8</v>
      </c>
      <c r="H23" s="379">
        <v>9</v>
      </c>
      <c r="I23" s="379">
        <v>7</v>
      </c>
      <c r="J23" s="42">
        <f t="shared" si="2"/>
        <v>20</v>
      </c>
      <c r="K23" s="379">
        <v>18</v>
      </c>
      <c r="L23" s="379">
        <v>20</v>
      </c>
      <c r="M23" s="379">
        <v>18</v>
      </c>
      <c r="N23" s="42">
        <f t="shared" si="3"/>
        <v>0</v>
      </c>
      <c r="O23" s="379">
        <v>0</v>
      </c>
      <c r="P23" s="379">
        <v>0</v>
      </c>
      <c r="Q23" s="379">
        <v>0</v>
      </c>
    </row>
    <row r="24" spans="1:17" s="18" customFormat="1" ht="15" customHeight="1">
      <c r="A24" s="43" t="s">
        <v>180</v>
      </c>
      <c r="B24" s="42">
        <f t="shared" si="1"/>
        <v>0</v>
      </c>
      <c r="C24" s="367"/>
      <c r="D24" s="367"/>
      <c r="E24" s="367"/>
      <c r="F24" s="42">
        <f t="shared" si="4"/>
        <v>0</v>
      </c>
      <c r="G24" s="367"/>
      <c r="H24" s="367"/>
      <c r="I24" s="367"/>
      <c r="J24" s="42">
        <f t="shared" si="2"/>
        <v>0</v>
      </c>
      <c r="K24" s="371"/>
      <c r="L24" s="371"/>
      <c r="M24" s="371"/>
      <c r="N24" s="42">
        <f t="shared" si="3"/>
        <v>0</v>
      </c>
      <c r="O24" s="371"/>
      <c r="P24" s="371"/>
      <c r="Q24" s="371"/>
    </row>
    <row r="25" spans="1:17" s="17" customFormat="1" ht="12.75" thickBot="1">
      <c r="A25" s="44" t="s">
        <v>167</v>
      </c>
      <c r="B25" s="374">
        <f t="shared" si="1"/>
        <v>1473</v>
      </c>
      <c r="C25" s="374">
        <f>SUM(C12:C24)</f>
        <v>2153</v>
      </c>
      <c r="D25" s="374">
        <f>SUM(D12:D24)</f>
        <v>2486</v>
      </c>
      <c r="E25" s="374">
        <f>SUM(E12:E24)</f>
        <v>1140</v>
      </c>
      <c r="F25" s="374">
        <f t="shared" si="4"/>
        <v>1682</v>
      </c>
      <c r="G25" s="374">
        <f>SUM(G12:G24)</f>
        <v>2790</v>
      </c>
      <c r="H25" s="374">
        <f>SUM(H12:H24)</f>
        <v>2859</v>
      </c>
      <c r="I25" s="374">
        <f>SUM(I12:I24)</f>
        <v>1613</v>
      </c>
      <c r="J25" s="374">
        <f t="shared" si="2"/>
        <v>4289</v>
      </c>
      <c r="K25" s="374">
        <f>SUM(K12:K24)</f>
        <v>2475</v>
      </c>
      <c r="L25" s="374">
        <f>SUM(L12:L24)</f>
        <v>2941</v>
      </c>
      <c r="M25" s="374">
        <f>SUM(M12:M24)</f>
        <v>3823</v>
      </c>
      <c r="N25" s="374">
        <f t="shared" si="3"/>
        <v>11</v>
      </c>
      <c r="O25" s="374">
        <f>SUM(O12:O24)</f>
        <v>45</v>
      </c>
      <c r="P25" s="374">
        <f>SUM(P12:P24)</f>
        <v>43</v>
      </c>
      <c r="Q25" s="374">
        <f>SUM(Q12:Q24)</f>
        <v>13</v>
      </c>
    </row>
    <row r="26" spans="1:17" ht="13.5" thickTop="1">
      <c r="A26" s="42" t="s">
        <v>186</v>
      </c>
      <c r="B26" s="42">
        <f t="shared" si="1"/>
        <v>185</v>
      </c>
      <c r="C26" s="379">
        <v>50</v>
      </c>
      <c r="D26" s="379">
        <v>158</v>
      </c>
      <c r="E26" s="379">
        <v>77</v>
      </c>
      <c r="F26" s="42">
        <f t="shared" si="4"/>
        <v>29</v>
      </c>
      <c r="G26" s="379">
        <v>11</v>
      </c>
      <c r="H26" s="379">
        <v>6</v>
      </c>
      <c r="I26" s="379">
        <v>34</v>
      </c>
      <c r="J26" s="42">
        <f t="shared" si="2"/>
        <v>34</v>
      </c>
      <c r="K26" s="379">
        <v>1</v>
      </c>
      <c r="L26" s="379">
        <v>15</v>
      </c>
      <c r="M26" s="379">
        <v>20</v>
      </c>
      <c r="N26" s="42">
        <f t="shared" si="3"/>
        <v>0</v>
      </c>
      <c r="O26" s="379"/>
      <c r="P26" s="379"/>
      <c r="Q26" s="379"/>
    </row>
    <row r="27" spans="1:17" ht="12.75">
      <c r="A27" s="42" t="s">
        <v>187</v>
      </c>
      <c r="B27" s="42">
        <f t="shared" si="1"/>
        <v>61</v>
      </c>
      <c r="C27" s="379">
        <v>63</v>
      </c>
      <c r="D27" s="379">
        <v>28</v>
      </c>
      <c r="E27" s="379">
        <v>96</v>
      </c>
      <c r="F27" s="42">
        <f t="shared" si="4"/>
        <v>83</v>
      </c>
      <c r="G27" s="379">
        <v>36</v>
      </c>
      <c r="H27" s="379">
        <v>13</v>
      </c>
      <c r="I27" s="379">
        <v>106</v>
      </c>
      <c r="J27" s="42">
        <f t="shared" si="2"/>
        <v>175</v>
      </c>
      <c r="K27" s="379">
        <v>45</v>
      </c>
      <c r="L27" s="379">
        <v>41</v>
      </c>
      <c r="M27" s="379">
        <v>179</v>
      </c>
      <c r="N27" s="42">
        <f t="shared" si="3"/>
        <v>0</v>
      </c>
      <c r="O27" s="379"/>
      <c r="P27" s="379"/>
      <c r="Q27" s="379"/>
    </row>
    <row r="28" spans="1:17" ht="12.75">
      <c r="A28" s="561" t="s">
        <v>456</v>
      </c>
      <c r="B28" s="42">
        <f t="shared" si="1"/>
        <v>69</v>
      </c>
      <c r="C28" s="379">
        <v>67</v>
      </c>
      <c r="D28" s="379">
        <v>73</v>
      </c>
      <c r="E28" s="379">
        <v>63</v>
      </c>
      <c r="F28" s="42">
        <f t="shared" si="4"/>
        <v>33</v>
      </c>
      <c r="G28" s="379">
        <v>32</v>
      </c>
      <c r="H28" s="379">
        <v>26</v>
      </c>
      <c r="I28" s="379">
        <v>39</v>
      </c>
      <c r="J28" s="42">
        <f t="shared" si="2"/>
        <v>60</v>
      </c>
      <c r="K28" s="379">
        <v>49</v>
      </c>
      <c r="L28" s="379">
        <v>51</v>
      </c>
      <c r="M28" s="379">
        <v>58</v>
      </c>
      <c r="N28" s="42"/>
      <c r="O28" s="379"/>
      <c r="P28" s="379"/>
      <c r="Q28" s="379"/>
    </row>
    <row r="29" spans="1:17" ht="12.75">
      <c r="A29" s="561" t="s">
        <v>181</v>
      </c>
      <c r="B29" s="42">
        <f t="shared" si="1"/>
        <v>153</v>
      </c>
      <c r="C29" s="379">
        <v>197</v>
      </c>
      <c r="D29" s="379">
        <v>197</v>
      </c>
      <c r="E29" s="379">
        <v>153</v>
      </c>
      <c r="F29" s="42">
        <f t="shared" si="4"/>
        <v>157</v>
      </c>
      <c r="G29" s="379">
        <v>137</v>
      </c>
      <c r="H29" s="379">
        <v>148</v>
      </c>
      <c r="I29" s="379">
        <v>146</v>
      </c>
      <c r="J29" s="42">
        <f t="shared" si="2"/>
        <v>111</v>
      </c>
      <c r="K29" s="379">
        <v>68</v>
      </c>
      <c r="L29" s="379">
        <v>77</v>
      </c>
      <c r="M29" s="379">
        <v>102</v>
      </c>
      <c r="N29" s="42"/>
      <c r="O29" s="379"/>
      <c r="P29" s="379"/>
      <c r="Q29" s="379"/>
    </row>
    <row r="30" spans="1:17" ht="12.75">
      <c r="A30" s="42" t="s">
        <v>185</v>
      </c>
      <c r="B30" s="42">
        <f t="shared" si="1"/>
        <v>575</v>
      </c>
      <c r="C30" s="379">
        <v>286</v>
      </c>
      <c r="D30" s="379">
        <v>276</v>
      </c>
      <c r="E30" s="379">
        <v>585</v>
      </c>
      <c r="F30" s="42">
        <f t="shared" si="4"/>
        <v>217</v>
      </c>
      <c r="G30" s="379">
        <v>116</v>
      </c>
      <c r="H30" s="379">
        <v>145</v>
      </c>
      <c r="I30" s="379">
        <v>188</v>
      </c>
      <c r="J30" s="42">
        <f t="shared" si="2"/>
        <v>518</v>
      </c>
      <c r="K30" s="379">
        <v>173</v>
      </c>
      <c r="L30" s="379">
        <v>196</v>
      </c>
      <c r="M30" s="379">
        <v>495</v>
      </c>
      <c r="N30" s="42">
        <f t="shared" si="3"/>
        <v>2</v>
      </c>
      <c r="O30" s="379">
        <v>23</v>
      </c>
      <c r="P30" s="379">
        <v>24</v>
      </c>
      <c r="Q30" s="379">
        <v>1</v>
      </c>
    </row>
    <row r="31" spans="1:17" ht="12.75">
      <c r="A31" s="561" t="s">
        <v>457</v>
      </c>
      <c r="B31" s="42">
        <f t="shared" si="1"/>
        <v>19</v>
      </c>
      <c r="C31" s="379">
        <v>47</v>
      </c>
      <c r="D31" s="379">
        <v>38</v>
      </c>
      <c r="E31" s="379">
        <v>28</v>
      </c>
      <c r="F31" s="42">
        <f t="shared" si="4"/>
        <v>29</v>
      </c>
      <c r="G31" s="379">
        <v>18</v>
      </c>
      <c r="H31" s="379">
        <v>28</v>
      </c>
      <c r="I31" s="379">
        <v>19</v>
      </c>
      <c r="J31" s="42">
        <f t="shared" si="2"/>
        <v>22</v>
      </c>
      <c r="K31" s="379">
        <v>23</v>
      </c>
      <c r="L31" s="379">
        <v>22</v>
      </c>
      <c r="M31" s="379">
        <v>23</v>
      </c>
      <c r="N31" s="42"/>
      <c r="O31" s="379"/>
      <c r="P31" s="379"/>
      <c r="Q31" s="379"/>
    </row>
    <row r="32" spans="1:17" ht="12.75">
      <c r="A32" s="42" t="s">
        <v>188</v>
      </c>
      <c r="B32" s="42">
        <f t="shared" si="1"/>
        <v>353</v>
      </c>
      <c r="C32" s="367">
        <v>379</v>
      </c>
      <c r="D32" s="367">
        <v>378</v>
      </c>
      <c r="E32" s="367">
        <v>354</v>
      </c>
      <c r="F32" s="42">
        <f t="shared" si="4"/>
        <v>179</v>
      </c>
      <c r="G32" s="367">
        <v>114</v>
      </c>
      <c r="H32" s="367">
        <v>123</v>
      </c>
      <c r="I32" s="367">
        <v>170</v>
      </c>
      <c r="J32" s="42">
        <f t="shared" si="2"/>
        <v>378</v>
      </c>
      <c r="K32" s="371">
        <v>258</v>
      </c>
      <c r="L32" s="371">
        <v>182</v>
      </c>
      <c r="M32" s="371">
        <v>454</v>
      </c>
      <c r="N32" s="42">
        <f t="shared" si="3"/>
        <v>0</v>
      </c>
      <c r="O32" s="371"/>
      <c r="P32" s="371"/>
      <c r="Q32" s="371"/>
    </row>
    <row r="33" spans="1:17" s="13" customFormat="1" ht="13.5" thickBot="1">
      <c r="A33" s="44" t="s">
        <v>184</v>
      </c>
      <c r="B33" s="381">
        <f t="shared" si="1"/>
        <v>1415</v>
      </c>
      <c r="C33" s="374">
        <f>SUM(C26:C32)</f>
        <v>1089</v>
      </c>
      <c r="D33" s="374">
        <f>SUM(D26:D32)</f>
        <v>1148</v>
      </c>
      <c r="E33" s="374">
        <f>SUM(E26:E32)</f>
        <v>1356</v>
      </c>
      <c r="F33" s="374">
        <f t="shared" si="4"/>
        <v>727</v>
      </c>
      <c r="G33" s="374">
        <f>SUM(G26:G32)</f>
        <v>464</v>
      </c>
      <c r="H33" s="374">
        <f>SUM(H26:H32)</f>
        <v>489</v>
      </c>
      <c r="I33" s="374">
        <f>SUM(I26:I32)</f>
        <v>702</v>
      </c>
      <c r="J33" s="374">
        <f t="shared" si="2"/>
        <v>1298</v>
      </c>
      <c r="K33" s="374">
        <f>SUM(K26:K32)</f>
        <v>617</v>
      </c>
      <c r="L33" s="374">
        <f>SUM(L26:L32)</f>
        <v>584</v>
      </c>
      <c r="M33" s="374">
        <f>SUM(M26:M32)</f>
        <v>1331</v>
      </c>
      <c r="N33" s="374">
        <f t="shared" si="3"/>
        <v>2</v>
      </c>
      <c r="O33" s="374">
        <f>SUM(O26:O32)</f>
        <v>23</v>
      </c>
      <c r="P33" s="374">
        <f>SUM(P26:P32)</f>
        <v>24</v>
      </c>
      <c r="Q33" s="374">
        <f>SUM(Q26:Q32)</f>
        <v>1</v>
      </c>
    </row>
    <row r="34" spans="1:17" ht="13.5" thickTop="1">
      <c r="A34" s="42" t="s">
        <v>191</v>
      </c>
      <c r="B34" s="42">
        <f t="shared" si="1"/>
        <v>47</v>
      </c>
      <c r="C34" s="379">
        <v>64</v>
      </c>
      <c r="D34" s="379">
        <v>72</v>
      </c>
      <c r="E34" s="379">
        <v>39</v>
      </c>
      <c r="F34" s="42">
        <f t="shared" si="4"/>
        <v>0</v>
      </c>
      <c r="G34" s="379">
        <v>0</v>
      </c>
      <c r="H34" s="379">
        <v>0</v>
      </c>
      <c r="I34" s="379">
        <v>0</v>
      </c>
      <c r="J34" s="42">
        <f t="shared" si="2"/>
        <v>194</v>
      </c>
      <c r="K34" s="379">
        <v>75</v>
      </c>
      <c r="L34" s="379">
        <v>106</v>
      </c>
      <c r="M34" s="379">
        <v>163</v>
      </c>
      <c r="N34" s="42">
        <f t="shared" si="3"/>
        <v>0</v>
      </c>
      <c r="O34" s="379">
        <v>0</v>
      </c>
      <c r="P34" s="379">
        <v>0</v>
      </c>
      <c r="Q34" s="379">
        <v>0</v>
      </c>
    </row>
    <row r="35" spans="1:17" ht="12.75">
      <c r="A35" s="42" t="s">
        <v>192</v>
      </c>
      <c r="B35" s="42">
        <f t="shared" si="1"/>
        <v>138</v>
      </c>
      <c r="C35" s="379">
        <v>38</v>
      </c>
      <c r="D35" s="379">
        <v>133</v>
      </c>
      <c r="E35" s="379">
        <v>43</v>
      </c>
      <c r="F35" s="42">
        <f t="shared" si="4"/>
        <v>66</v>
      </c>
      <c r="G35" s="379">
        <v>37</v>
      </c>
      <c r="H35" s="379">
        <v>62</v>
      </c>
      <c r="I35" s="379">
        <v>41</v>
      </c>
      <c r="J35" s="42">
        <f t="shared" si="2"/>
        <v>189</v>
      </c>
      <c r="K35" s="379">
        <v>69</v>
      </c>
      <c r="L35" s="379">
        <v>105</v>
      </c>
      <c r="M35" s="379">
        <v>153</v>
      </c>
      <c r="N35" s="42">
        <f t="shared" si="3"/>
        <v>0</v>
      </c>
      <c r="O35" s="379">
        <v>0</v>
      </c>
      <c r="P35" s="379">
        <v>0</v>
      </c>
      <c r="Q35" s="379">
        <v>0</v>
      </c>
    </row>
    <row r="36" spans="1:17" ht="12.75">
      <c r="A36" s="42" t="s">
        <v>193</v>
      </c>
      <c r="B36" s="42">
        <f t="shared" si="1"/>
        <v>56</v>
      </c>
      <c r="C36" s="379">
        <v>31</v>
      </c>
      <c r="D36" s="379">
        <v>45</v>
      </c>
      <c r="E36" s="379">
        <v>42</v>
      </c>
      <c r="F36" s="42">
        <f t="shared" si="4"/>
        <v>0</v>
      </c>
      <c r="G36" s="379">
        <v>0</v>
      </c>
      <c r="H36" s="379">
        <v>0</v>
      </c>
      <c r="I36" s="379">
        <v>0</v>
      </c>
      <c r="J36" s="42">
        <f t="shared" si="2"/>
        <v>160</v>
      </c>
      <c r="K36" s="379">
        <v>104</v>
      </c>
      <c r="L36" s="379">
        <v>99</v>
      </c>
      <c r="M36" s="379">
        <v>165</v>
      </c>
      <c r="N36" s="42">
        <f t="shared" si="3"/>
        <v>0</v>
      </c>
      <c r="O36" s="379">
        <v>0</v>
      </c>
      <c r="P36" s="379">
        <v>0</v>
      </c>
      <c r="Q36" s="379">
        <v>0</v>
      </c>
    </row>
    <row r="37" spans="1:17" ht="12.75">
      <c r="A37" s="43" t="s">
        <v>194</v>
      </c>
      <c r="B37" s="42">
        <f t="shared" si="1"/>
        <v>37</v>
      </c>
      <c r="C37" s="379">
        <v>134</v>
      </c>
      <c r="D37" s="379">
        <v>149</v>
      </c>
      <c r="E37" s="379">
        <v>22</v>
      </c>
      <c r="F37" s="42">
        <f t="shared" si="4"/>
        <v>91</v>
      </c>
      <c r="G37" s="379">
        <v>298</v>
      </c>
      <c r="H37" s="379">
        <v>291</v>
      </c>
      <c r="I37" s="379">
        <v>98</v>
      </c>
      <c r="J37" s="42">
        <f t="shared" si="2"/>
        <v>219</v>
      </c>
      <c r="K37" s="379">
        <v>119</v>
      </c>
      <c r="L37" s="379">
        <v>132</v>
      </c>
      <c r="M37" s="379">
        <v>206</v>
      </c>
      <c r="N37" s="42">
        <f t="shared" si="3"/>
        <v>0</v>
      </c>
      <c r="O37" s="379">
        <v>0</v>
      </c>
      <c r="P37" s="379">
        <v>0</v>
      </c>
      <c r="Q37" s="379">
        <v>0</v>
      </c>
    </row>
    <row r="38" spans="1:17" ht="12.75">
      <c r="A38" s="42" t="s">
        <v>195</v>
      </c>
      <c r="B38" s="42">
        <f t="shared" si="1"/>
        <v>218</v>
      </c>
      <c r="C38" s="379">
        <v>92</v>
      </c>
      <c r="D38" s="379">
        <v>153</v>
      </c>
      <c r="E38" s="379">
        <v>157</v>
      </c>
      <c r="F38" s="42">
        <f t="shared" si="4"/>
        <v>96</v>
      </c>
      <c r="G38" s="379">
        <v>39</v>
      </c>
      <c r="H38" s="379">
        <v>44</v>
      </c>
      <c r="I38" s="379">
        <v>91</v>
      </c>
      <c r="J38" s="42">
        <f t="shared" si="2"/>
        <v>223</v>
      </c>
      <c r="K38" s="379">
        <v>69</v>
      </c>
      <c r="L38" s="379">
        <v>90</v>
      </c>
      <c r="M38" s="379">
        <v>202</v>
      </c>
      <c r="N38" s="42">
        <f t="shared" si="3"/>
        <v>0</v>
      </c>
      <c r="O38" s="379">
        <v>0</v>
      </c>
      <c r="P38" s="379">
        <v>0</v>
      </c>
      <c r="Q38" s="379">
        <v>0</v>
      </c>
    </row>
    <row r="39" spans="1:17" ht="12.75">
      <c r="A39" s="42" t="s">
        <v>196</v>
      </c>
      <c r="B39" s="42">
        <f t="shared" si="1"/>
        <v>145</v>
      </c>
      <c r="C39" s="379">
        <v>86</v>
      </c>
      <c r="D39" s="379">
        <v>71</v>
      </c>
      <c r="E39" s="379">
        <v>160</v>
      </c>
      <c r="F39" s="42">
        <f t="shared" si="4"/>
        <v>38</v>
      </c>
      <c r="G39" s="379">
        <v>7</v>
      </c>
      <c r="H39" s="379">
        <v>12</v>
      </c>
      <c r="I39" s="379">
        <v>33</v>
      </c>
      <c r="J39" s="42">
        <f t="shared" si="2"/>
        <v>153</v>
      </c>
      <c r="K39" s="379">
        <v>31</v>
      </c>
      <c r="L39" s="379">
        <v>40</v>
      </c>
      <c r="M39" s="379">
        <v>144</v>
      </c>
      <c r="N39" s="42">
        <f t="shared" si="3"/>
        <v>0</v>
      </c>
      <c r="O39" s="379">
        <v>0</v>
      </c>
      <c r="P39" s="379">
        <v>0</v>
      </c>
      <c r="Q39" s="379">
        <v>0</v>
      </c>
    </row>
    <row r="40" spans="1:17" ht="12.75">
      <c r="A40" s="42" t="s">
        <v>197</v>
      </c>
      <c r="B40" s="42">
        <f t="shared" si="1"/>
        <v>5</v>
      </c>
      <c r="C40" s="379">
        <v>8</v>
      </c>
      <c r="D40" s="379">
        <v>5</v>
      </c>
      <c r="E40" s="379">
        <v>8</v>
      </c>
      <c r="F40" s="42">
        <f t="shared" si="4"/>
        <v>13</v>
      </c>
      <c r="G40" s="379">
        <v>8</v>
      </c>
      <c r="H40" s="379">
        <v>18</v>
      </c>
      <c r="I40" s="379">
        <v>3</v>
      </c>
      <c r="J40" s="42">
        <f t="shared" si="2"/>
        <v>17</v>
      </c>
      <c r="K40" s="379">
        <v>19</v>
      </c>
      <c r="L40" s="379">
        <v>19</v>
      </c>
      <c r="M40" s="379">
        <v>17</v>
      </c>
      <c r="N40" s="42">
        <f t="shared" si="3"/>
        <v>0</v>
      </c>
      <c r="O40" s="379">
        <v>0</v>
      </c>
      <c r="P40" s="379">
        <v>0</v>
      </c>
      <c r="Q40" s="379">
        <v>0</v>
      </c>
    </row>
    <row r="41" spans="1:17" ht="12.75">
      <c r="A41" s="43" t="s">
        <v>190</v>
      </c>
      <c r="B41" s="42">
        <f t="shared" si="1"/>
        <v>435</v>
      </c>
      <c r="C41" s="379">
        <v>137</v>
      </c>
      <c r="D41" s="379">
        <v>256</v>
      </c>
      <c r="E41" s="379">
        <v>316</v>
      </c>
      <c r="F41" s="42">
        <f t="shared" si="4"/>
        <v>494</v>
      </c>
      <c r="G41" s="379">
        <v>278</v>
      </c>
      <c r="H41" s="379">
        <v>346</v>
      </c>
      <c r="I41" s="379">
        <v>426</v>
      </c>
      <c r="J41" s="42">
        <f t="shared" si="2"/>
        <v>1362</v>
      </c>
      <c r="K41" s="379">
        <v>288</v>
      </c>
      <c r="L41" s="379">
        <v>314</v>
      </c>
      <c r="M41" s="379">
        <v>1336</v>
      </c>
      <c r="N41" s="42">
        <f t="shared" si="3"/>
        <v>57</v>
      </c>
      <c r="O41" s="379">
        <v>19</v>
      </c>
      <c r="P41" s="379">
        <v>35</v>
      </c>
      <c r="Q41" s="379">
        <v>41</v>
      </c>
    </row>
    <row r="42" spans="1:17" ht="12.75">
      <c r="A42" s="42" t="s">
        <v>198</v>
      </c>
      <c r="B42" s="42">
        <f t="shared" si="1"/>
        <v>1</v>
      </c>
      <c r="C42" s="379">
        <v>3</v>
      </c>
      <c r="D42" s="379">
        <v>4</v>
      </c>
      <c r="E42" s="379">
        <v>0</v>
      </c>
      <c r="F42" s="42">
        <f t="shared" si="4"/>
        <v>4</v>
      </c>
      <c r="G42" s="379">
        <v>1</v>
      </c>
      <c r="H42" s="379">
        <v>1</v>
      </c>
      <c r="I42" s="379">
        <v>4</v>
      </c>
      <c r="J42" s="42">
        <f t="shared" si="2"/>
        <v>2</v>
      </c>
      <c r="K42" s="379">
        <v>5</v>
      </c>
      <c r="L42" s="379">
        <v>6</v>
      </c>
      <c r="M42" s="379">
        <v>1</v>
      </c>
      <c r="N42" s="42">
        <f t="shared" si="3"/>
        <v>0</v>
      </c>
      <c r="O42" s="379">
        <v>0</v>
      </c>
      <c r="P42" s="379">
        <v>0</v>
      </c>
      <c r="Q42" s="379">
        <v>0</v>
      </c>
    </row>
    <row r="43" spans="1:17" s="13" customFormat="1" ht="13.5" thickBot="1">
      <c r="A43" s="44" t="s">
        <v>189</v>
      </c>
      <c r="B43" s="381">
        <f t="shared" si="1"/>
        <v>1082</v>
      </c>
      <c r="C43" s="382">
        <f>SUM(C34:C42)</f>
        <v>593</v>
      </c>
      <c r="D43" s="382">
        <f>SUM(D34:D42)</f>
        <v>888</v>
      </c>
      <c r="E43" s="382">
        <f>SUM(E34:E42)</f>
        <v>787</v>
      </c>
      <c r="F43" s="374">
        <f t="shared" si="4"/>
        <v>802</v>
      </c>
      <c r="G43" s="382">
        <f>SUM(G34:G42)</f>
        <v>668</v>
      </c>
      <c r="H43" s="382">
        <f>SUM(H34:H42)</f>
        <v>774</v>
      </c>
      <c r="I43" s="382">
        <f>SUM(I34:I42)</f>
        <v>696</v>
      </c>
      <c r="J43" s="382">
        <f t="shared" si="2"/>
        <v>2519</v>
      </c>
      <c r="K43" s="382">
        <v>779</v>
      </c>
      <c r="L43" s="382">
        <v>911</v>
      </c>
      <c r="M43" s="382">
        <v>2387</v>
      </c>
      <c r="N43" s="382">
        <f t="shared" si="3"/>
        <v>57</v>
      </c>
      <c r="O43" s="382">
        <f>SUM(O34:O42)</f>
        <v>19</v>
      </c>
      <c r="P43" s="382">
        <f>SUM(P34:P42)</f>
        <v>35</v>
      </c>
      <c r="Q43" s="382">
        <f>SUM(Q34:Q42)</f>
        <v>41</v>
      </c>
    </row>
    <row r="44" spans="1:17" s="13" customFormat="1" ht="13.5" thickTop="1">
      <c r="A44" s="44" t="s">
        <v>5</v>
      </c>
      <c r="B44" s="566">
        <f t="shared" si="1"/>
        <v>4132</v>
      </c>
      <c r="C44" s="567">
        <f>SUM(C11+C25+C33+C43)</f>
        <v>3993</v>
      </c>
      <c r="D44" s="567">
        <f>SUM(D11+D25+D33+D43)</f>
        <v>4693</v>
      </c>
      <c r="E44" s="567">
        <f>SUM(E11+E25+E33+E43)</f>
        <v>3432</v>
      </c>
      <c r="F44" s="566">
        <f t="shared" si="4"/>
        <v>3438</v>
      </c>
      <c r="G44" s="567">
        <f>SUM(G11+G25+G33+G43)</f>
        <v>4071</v>
      </c>
      <c r="H44" s="567">
        <f>SUM(H11+H25+H33+H43)</f>
        <v>4295</v>
      </c>
      <c r="I44" s="567">
        <f>SUM(I11+I25+I33+I43)</f>
        <v>3214</v>
      </c>
      <c r="J44" s="566">
        <f t="shared" si="2"/>
        <v>8557</v>
      </c>
      <c r="K44" s="383">
        <f>SUM(K11+K25+K33+K43)</f>
        <v>4121</v>
      </c>
      <c r="L44" s="383">
        <f>SUM(L11+L25+L33+L43)</f>
        <v>4728</v>
      </c>
      <c r="M44" s="383">
        <f>SUM(M11+M25+M33+M43)</f>
        <v>7950</v>
      </c>
      <c r="N44" s="566">
        <f t="shared" si="3"/>
        <v>70</v>
      </c>
      <c r="O44" s="383">
        <f>SUM(O11+O25+O33+O43)</f>
        <v>87</v>
      </c>
      <c r="P44" s="383">
        <f>SUM(P11+P25+P33+P43)</f>
        <v>102</v>
      </c>
      <c r="Q44" s="383">
        <f>SUM(Q11+Q25+Q33+Q43)</f>
        <v>55</v>
      </c>
    </row>
    <row r="45" spans="1:2" ht="12.75">
      <c r="A45" s="53" t="s">
        <v>219</v>
      </c>
      <c r="B45" s="53"/>
    </row>
    <row r="46" spans="1:2" ht="12.75">
      <c r="A46" s="584" t="s">
        <v>459</v>
      </c>
      <c r="B46" s="53"/>
    </row>
    <row r="47" spans="1:2" ht="12.75">
      <c r="A47" s="56"/>
      <c r="B47" s="56"/>
    </row>
    <row r="48" spans="1:2" ht="12.75">
      <c r="A48" s="25"/>
      <c r="B48" s="25"/>
    </row>
  </sheetData>
  <sheetProtection/>
  <mergeCells count="5">
    <mergeCell ref="N3:Q3"/>
    <mergeCell ref="A3:A4"/>
    <mergeCell ref="B3:E3"/>
    <mergeCell ref="F3:I3"/>
    <mergeCell ref="J3:M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pageSetUpPr fitToPage="1"/>
  </sheetPr>
  <dimension ref="A1:Q46"/>
  <sheetViews>
    <sheetView tabSelected="1" zoomScalePageLayoutView="0" workbookViewId="0" topLeftCell="A1">
      <selection activeCell="A51" sqref="A51"/>
    </sheetView>
  </sheetViews>
  <sheetFormatPr defaultColWidth="9.140625" defaultRowHeight="12.75"/>
  <cols>
    <col min="1" max="1" width="26.7109375" style="12" customWidth="1"/>
    <col min="2" max="2" width="10.140625" style="12" bestFit="1" customWidth="1"/>
    <col min="3" max="3" width="8.7109375" style="294" bestFit="1" customWidth="1"/>
    <col min="4" max="4" width="10.28125" style="294" bestFit="1" customWidth="1"/>
    <col min="5" max="5" width="9.00390625" style="294" bestFit="1" customWidth="1"/>
    <col min="6" max="6" width="10.140625" style="294" bestFit="1" customWidth="1"/>
    <col min="7" max="7" width="8.7109375" style="294" bestFit="1" customWidth="1"/>
    <col min="8" max="8" width="10.28125" style="294" bestFit="1" customWidth="1"/>
    <col min="9" max="9" width="9.00390625" style="294" bestFit="1" customWidth="1"/>
    <col min="10" max="10" width="10.140625" style="294" bestFit="1" customWidth="1"/>
    <col min="11" max="11" width="8.7109375" style="294" bestFit="1" customWidth="1"/>
    <col min="12" max="12" width="10.28125" style="294" bestFit="1" customWidth="1"/>
    <col min="13" max="13" width="9.00390625" style="294" bestFit="1" customWidth="1"/>
    <col min="14" max="14" width="10.140625" style="294" bestFit="1" customWidth="1"/>
    <col min="15" max="15" width="8.7109375" style="294" bestFit="1" customWidth="1"/>
    <col min="16" max="16" width="10.28125" style="294" bestFit="1" customWidth="1"/>
    <col min="17" max="17" width="9.00390625" style="294" bestFit="1" customWidth="1"/>
    <col min="18" max="16384" width="9.140625" style="12" customWidth="1"/>
  </cols>
  <sheetData>
    <row r="1" spans="1:17" ht="31.5" customHeight="1">
      <c r="A1" s="457" t="s">
        <v>486</v>
      </c>
      <c r="B1" s="27"/>
      <c r="C1" s="292"/>
      <c r="D1" s="292"/>
      <c r="E1" s="292"/>
      <c r="F1" s="292"/>
      <c r="G1" s="292"/>
      <c r="H1" s="292"/>
      <c r="I1" s="292"/>
      <c r="J1" s="292"/>
      <c r="K1" s="292"/>
      <c r="L1" s="292"/>
      <c r="M1" s="292"/>
      <c r="N1" s="292"/>
      <c r="O1" s="292"/>
      <c r="P1" s="292"/>
      <c r="Q1" s="292"/>
    </row>
    <row r="2" spans="1:14" ht="15" customHeight="1">
      <c r="A2" s="27"/>
      <c r="B2" s="27"/>
      <c r="C2" s="293"/>
      <c r="D2" s="293"/>
      <c r="E2" s="293"/>
      <c r="F2" s="293"/>
      <c r="G2" s="293"/>
      <c r="H2" s="293"/>
      <c r="I2" s="293"/>
      <c r="J2" s="293"/>
      <c r="K2" s="293"/>
      <c r="L2" s="293"/>
      <c r="M2" s="293"/>
      <c r="N2" s="296"/>
    </row>
    <row r="3" spans="1:17" s="18" customFormat="1" ht="29.25" customHeight="1">
      <c r="A3" s="789" t="s">
        <v>287</v>
      </c>
      <c r="B3" s="786" t="s">
        <v>288</v>
      </c>
      <c r="C3" s="787"/>
      <c r="D3" s="787"/>
      <c r="E3" s="788"/>
      <c r="F3" s="786" t="s">
        <v>289</v>
      </c>
      <c r="G3" s="787"/>
      <c r="H3" s="787"/>
      <c r="I3" s="788"/>
      <c r="J3" s="786" t="s">
        <v>290</v>
      </c>
      <c r="K3" s="787"/>
      <c r="L3" s="787"/>
      <c r="M3" s="788"/>
      <c r="N3" s="786" t="s">
        <v>291</v>
      </c>
      <c r="O3" s="787"/>
      <c r="P3" s="787"/>
      <c r="Q3" s="788"/>
    </row>
    <row r="4" spans="1:17" s="18" customFormat="1" ht="42" customHeight="1">
      <c r="A4" s="790"/>
      <c r="B4" s="145" t="s">
        <v>241</v>
      </c>
      <c r="C4" s="145" t="s">
        <v>223</v>
      </c>
      <c r="D4" s="145" t="s">
        <v>224</v>
      </c>
      <c r="E4" s="146" t="s">
        <v>225</v>
      </c>
      <c r="F4" s="145" t="s">
        <v>241</v>
      </c>
      <c r="G4" s="145" t="s">
        <v>223</v>
      </c>
      <c r="H4" s="145" t="s">
        <v>224</v>
      </c>
      <c r="I4" s="146" t="s">
        <v>225</v>
      </c>
      <c r="J4" s="145" t="s">
        <v>241</v>
      </c>
      <c r="K4" s="145" t="s">
        <v>223</v>
      </c>
      <c r="L4" s="145" t="s">
        <v>224</v>
      </c>
      <c r="M4" s="146" t="s">
        <v>225</v>
      </c>
      <c r="N4" s="145" t="s">
        <v>241</v>
      </c>
      <c r="O4" s="145" t="s">
        <v>223</v>
      </c>
      <c r="P4" s="145" t="s">
        <v>224</v>
      </c>
      <c r="Q4" s="146" t="s">
        <v>225</v>
      </c>
    </row>
    <row r="5" spans="1:17" s="18" customFormat="1" ht="15" customHeight="1">
      <c r="A5" s="42" t="s">
        <v>161</v>
      </c>
      <c r="B5" s="147">
        <f>IF('Tav. 1.2 GdP x materia x indici'!B5&gt;0,('Tav. 1.2 GdP x materia x indici'!E5-'Tav. 1.2 GdP x materia x indici'!B5)/'Tav. 1.2 GdP x materia x indici'!B5," ")</f>
        <v>0.3023255813953488</v>
      </c>
      <c r="C5" s="147">
        <f>IF('Tav. 1.2 GdP x materia x indici'!C5&gt;0,'Tav. 1.2 GdP x materia x indici'!D5/'Tav. 1.2 GdP x materia x indici'!C5," ")</f>
        <v>0.8869565217391304</v>
      </c>
      <c r="D5" s="147">
        <f>IF(('Tav. 1.2 GdP x materia x indici'!B5+'Tav. 1.2 GdP x materia x indici'!C5)&gt;0,'Tav. 1.2 GdP x materia x indici'!D5/('Tav. 1.2 GdP x materia x indici'!B5+'Tav. 1.2 GdP x materia x indici'!C5)," ")</f>
        <v>0.6455696202531646</v>
      </c>
      <c r="E5" s="148">
        <f>IF(('Tav. 1.2 GdP x materia x indici'!C5+'Tav. 1.2 GdP x materia x indici'!D5)&gt;0,('Tav. 1.2 GdP x materia x indici'!B5+'Tav. 1.2 GdP x materia x indici'!E5)/('Tav. 1.2 GdP x materia x indici'!C5+'Tav. 1.2 GdP x materia x indici'!D5)," ")</f>
        <v>0.45622119815668205</v>
      </c>
      <c r="F5" s="147">
        <f>IF('Tav. 1.2 GdP x materia x indici'!F5&gt;0,('Tav. 1.2 GdP x materia x indici'!I5-'Tav. 1.2 GdP x materia x indici'!F5)/'Tav. 1.2 GdP x materia x indici'!F5," ")</f>
        <v>0.375</v>
      </c>
      <c r="G5" s="147">
        <f>IF('Tav. 1.2 GdP x materia x indici'!G5&gt;0,'Tav. 1.2 GdP x materia x indici'!H5/'Tav. 1.2 GdP x materia x indici'!G5," ")</f>
        <v>0.8770491803278688</v>
      </c>
      <c r="H5" s="147">
        <f>IF(('Tav. 1.2 GdP x materia x indici'!F5+'Tav. 1.2 GdP x materia x indici'!G5)&gt;0,'Tav. 1.2 GdP x materia x indici'!H5/('Tav. 1.2 GdP x materia x indici'!F5+'Tav. 1.2 GdP x materia x indici'!G5)," ")</f>
        <v>0.6604938271604939</v>
      </c>
      <c r="I5" s="148">
        <f>IF(('Tav. 1.2 GdP x materia x indici'!G5+'Tav. 1.2 GdP x materia x indici'!H5)&gt;0,('Tav. 1.2 GdP x materia x indici'!F5+'Tav. 1.2 GdP x materia x indici'!I5)/('Tav. 1.2 GdP x materia x indici'!G5+'Tav. 1.2 GdP x materia x indici'!H5)," ")</f>
        <v>0.4148471615720524</v>
      </c>
      <c r="J5" s="147">
        <f>IF('Tav. 1.2 GdP x materia x indici'!J5&gt;0,('Tav. 1.2 GdP x materia x indici'!M5-'Tav. 1.2 GdP x materia x indici'!J5)/'Tav. 1.2 GdP x materia x indici'!J5," ")</f>
        <v>-0.07432432432432433</v>
      </c>
      <c r="K5" s="147">
        <f>IF('Tav. 1.2 GdP x materia x indici'!K5&gt;0,'Tav. 1.2 GdP x materia x indici'!L5/'Tav. 1.2 GdP x materia x indici'!K5," ")</f>
        <v>1.0533980582524272</v>
      </c>
      <c r="L5" s="147">
        <f>IF(('Tav. 1.2 GdP x materia x indici'!J5+'Tav. 1.2 GdP x materia x indici'!K5)&gt;0,'Tav. 1.2 GdP x materia x indici'!L5/('Tav. 1.2 GdP x materia x indici'!J5+'Tav. 1.2 GdP x materia x indici'!K5)," ")</f>
        <v>0.6129943502824858</v>
      </c>
      <c r="M5" s="148">
        <f>IF(('Tav. 1.2 GdP x materia x indici'!K5+'Tav. 1.2 GdP x materia x indici'!L5)&gt;0,('Tav. 1.2 GdP x materia x indici'!J5+'Tav. 1.2 GdP x materia x indici'!M5)/('Tav. 1.2 GdP x materia x indici'!K5+'Tav. 1.2 GdP x materia x indici'!L5)," ")</f>
        <v>0.6737588652482269</v>
      </c>
      <c r="N5" s="147" t="str">
        <f>IF('Tav. 1.2 GdP x materia x indici'!N5&gt;0,('Tav. 1.2 GdP x materia x indici'!Q5-'Tav. 1.2 GdP x materia x indici'!N5)/'Tav. 1.2 GdP x materia x indici'!N5," ")</f>
        <v> </v>
      </c>
      <c r="O5" s="147" t="str">
        <f>IF('Tav. 1.2 GdP x materia x indici'!O5&gt;0,'Tav. 1.2 GdP x materia x indici'!P5/'Tav. 1.2 GdP x materia x indici'!O5," ")</f>
        <v> </v>
      </c>
      <c r="P5" s="147" t="str">
        <f>IF(('Tav. 1.2 GdP x materia x indici'!N5+'Tav. 1.2 GdP x materia x indici'!O5)&gt;0,'Tav. 1.2 GdP x materia x indici'!P5/('Tav. 1.2 GdP x materia x indici'!N5+'Tav. 1.2 GdP x materia x indici'!O5)," ")</f>
        <v> </v>
      </c>
      <c r="Q5" s="148" t="str">
        <f>IF(('Tav. 1.2 GdP x materia x indici'!O5+'Tav. 1.2 GdP x materia x indici'!P5)&gt;0,('Tav. 1.2 GdP x materia x indici'!N5+'Tav. 1.2 GdP x materia x indici'!Q5)/('Tav. 1.2 GdP x materia x indici'!O5+'Tav. 1.2 GdP x materia x indici'!P5)," ")</f>
        <v> </v>
      </c>
    </row>
    <row r="6" spans="1:17" s="18" customFormat="1" ht="15" customHeight="1">
      <c r="A6" s="42" t="s">
        <v>162</v>
      </c>
      <c r="B6" s="147">
        <f>IF('Tav. 1.2 GdP x materia x indici'!B6&gt;0,('Tav. 1.2 GdP x materia x indici'!E6-'Tav. 1.2 GdP x materia x indici'!B6)/'Tav. 1.2 GdP x materia x indici'!B6," ")</f>
        <v>-0.7</v>
      </c>
      <c r="C6" s="147">
        <f>IF('Tav. 1.2 GdP x materia x indici'!C6&gt;0,'Tav. 1.2 GdP x materia x indici'!D6/'Tav. 1.2 GdP x materia x indici'!C6," ")</f>
        <v>1.368421052631579</v>
      </c>
      <c r="D6" s="147">
        <f>IF(('Tav. 1.2 GdP x materia x indici'!B6+'Tav. 1.2 GdP x materia x indici'!C6)&gt;0,'Tav. 1.2 GdP x materia x indici'!D6/('Tav. 1.2 GdP x materia x indici'!B6+'Tav. 1.2 GdP x materia x indici'!C6)," ")</f>
        <v>0.896551724137931</v>
      </c>
      <c r="E6" s="148">
        <f>IF(('Tav. 1.2 GdP x materia x indici'!C6+'Tav. 1.2 GdP x materia x indici'!D6)&gt;0,('Tav. 1.2 GdP x materia x indici'!B6+'Tav. 1.2 GdP x materia x indici'!E6)/('Tav. 1.2 GdP x materia x indici'!C6+'Tav. 1.2 GdP x materia x indici'!D6)," ")</f>
        <v>0.28888888888888886</v>
      </c>
      <c r="F6" s="147">
        <f>IF('Tav. 1.2 GdP x materia x indici'!F6&gt;0,('Tav. 1.2 GdP x materia x indici'!I6-'Tav. 1.2 GdP x materia x indici'!F6)/'Tav. 1.2 GdP x materia x indici'!F6," ")</f>
        <v>-0.1</v>
      </c>
      <c r="G6" s="147">
        <f>IF('Tav. 1.2 GdP x materia x indici'!G6&gt;0,'Tav. 1.2 GdP x materia x indici'!H6/'Tav. 1.2 GdP x materia x indici'!G6," ")</f>
        <v>1.105263157894737</v>
      </c>
      <c r="H6" s="147">
        <f>IF(('Tav. 1.2 GdP x materia x indici'!F6+'Tav. 1.2 GdP x materia x indici'!G6)&gt;0,'Tav. 1.2 GdP x materia x indici'!H6/('Tav. 1.2 GdP x materia x indici'!F6+'Tav. 1.2 GdP x materia x indici'!G6)," ")</f>
        <v>0.5384615384615384</v>
      </c>
      <c r="I6" s="148">
        <f>IF(('Tav. 1.2 GdP x materia x indici'!G6+'Tav. 1.2 GdP x materia x indici'!H6)&gt;0,('Tav. 1.2 GdP x materia x indici'!F6+'Tav. 1.2 GdP x materia x indici'!I6)/('Tav. 1.2 GdP x materia x indici'!G6+'Tav. 1.2 GdP x materia x indici'!H6)," ")</f>
        <v>0.95</v>
      </c>
      <c r="J6" s="147">
        <f>IF('Tav. 1.2 GdP x materia x indici'!J6&gt;0,('Tav. 1.2 GdP x materia x indici'!M6-'Tav. 1.2 GdP x materia x indici'!J6)/'Tav. 1.2 GdP x materia x indici'!J6," ")</f>
        <v>-0.52</v>
      </c>
      <c r="K6" s="147">
        <f>IF('Tav. 1.2 GdP x materia x indici'!K6&gt;0,'Tav. 1.2 GdP x materia x indici'!L6/'Tav. 1.2 GdP x materia x indici'!K6," ")</f>
        <v>2.3</v>
      </c>
      <c r="L6" s="147">
        <f>IF(('Tav. 1.2 GdP x materia x indici'!J6+'Tav. 1.2 GdP x materia x indici'!K6)&gt;0,'Tav. 1.2 GdP x materia x indici'!L6/('Tav. 1.2 GdP x materia x indici'!J6+'Tav. 1.2 GdP x materia x indici'!K6)," ")</f>
        <v>0.6571428571428571</v>
      </c>
      <c r="M6" s="148">
        <f>IF(('Tav. 1.2 GdP x materia x indici'!K6+'Tav. 1.2 GdP x materia x indici'!L6)&gt;0,('Tav. 1.2 GdP x materia x indici'!J6+'Tav. 1.2 GdP x materia x indici'!M6)/('Tav. 1.2 GdP x materia x indici'!K6+'Tav. 1.2 GdP x materia x indici'!L6)," ")</f>
        <v>1.121212121212121</v>
      </c>
      <c r="N6" s="147" t="str">
        <f>IF('Tav. 1.2 GdP x materia x indici'!N6&gt;0,('Tav. 1.2 GdP x materia x indici'!Q6-'Tav. 1.2 GdP x materia x indici'!N6)/'Tav. 1.2 GdP x materia x indici'!N6," ")</f>
        <v> </v>
      </c>
      <c r="O6" s="147" t="str">
        <f>IF('Tav. 1.2 GdP x materia x indici'!O6&gt;0,'Tav. 1.2 GdP x materia x indici'!P6/'Tav. 1.2 GdP x materia x indici'!O6," ")</f>
        <v> </v>
      </c>
      <c r="P6" s="147" t="str">
        <f>IF(('Tav. 1.2 GdP x materia x indici'!N6+'Tav. 1.2 GdP x materia x indici'!O6)&gt;0,'Tav. 1.2 GdP x materia x indici'!P6/('Tav. 1.2 GdP x materia x indici'!N6+'Tav. 1.2 GdP x materia x indici'!O6)," ")</f>
        <v> </v>
      </c>
      <c r="Q6" s="148" t="str">
        <f>IF(('Tav. 1.2 GdP x materia x indici'!O6+'Tav. 1.2 GdP x materia x indici'!P6)&gt;0,('Tav. 1.2 GdP x materia x indici'!N6+'Tav. 1.2 GdP x materia x indici'!Q6)/('Tav. 1.2 GdP x materia x indici'!O6+'Tav. 1.2 GdP x materia x indici'!P6)," ")</f>
        <v> </v>
      </c>
    </row>
    <row r="7" spans="1:17" s="18" customFormat="1" ht="24.75" customHeight="1">
      <c r="A7" s="42" t="s">
        <v>163</v>
      </c>
      <c r="B7" s="147">
        <f>IF('Tav. 1.2 GdP x materia x indici'!B7&gt;0,('Tav. 1.2 GdP x materia x indici'!E7-'Tav. 1.2 GdP x materia x indici'!B7)/'Tav. 1.2 GdP x materia x indici'!B7," ")</f>
        <v>0.05357142857142857</v>
      </c>
      <c r="C7" s="147">
        <f>IF('Tav. 1.2 GdP x materia x indici'!C7&gt;0,'Tav. 1.2 GdP x materia x indici'!D7/'Tav. 1.2 GdP x materia x indici'!C7," ")</f>
        <v>0.25</v>
      </c>
      <c r="D7" s="147">
        <f>IF(('Tav. 1.2 GdP x materia x indici'!B7+'Tav. 1.2 GdP x materia x indici'!C7)&gt;0,'Tav. 1.2 GdP x materia x indici'!D7/('Tav. 1.2 GdP x materia x indici'!B7+'Tav. 1.2 GdP x materia x indici'!C7)," ")</f>
        <v>0.016666666666666666</v>
      </c>
      <c r="E7" s="148">
        <f>IF(('Tav. 1.2 GdP x materia x indici'!C7+'Tav. 1.2 GdP x materia x indici'!D7)&gt;0,('Tav. 1.2 GdP x materia x indici'!B7+'Tav. 1.2 GdP x materia x indici'!E7)/('Tav. 1.2 GdP x materia x indici'!C7+'Tav. 1.2 GdP x materia x indici'!D7)," ")</f>
        <v>23</v>
      </c>
      <c r="F7" s="147">
        <f>IF('Tav. 1.2 GdP x materia x indici'!F7&gt;0,('Tav. 1.2 GdP x materia x indici'!I7-'Tav. 1.2 GdP x materia x indici'!F7)/'Tav. 1.2 GdP x materia x indici'!F7," ")</f>
        <v>-0.16666666666666666</v>
      </c>
      <c r="G7" s="147">
        <f>IF('Tav. 1.2 GdP x materia x indici'!G7&gt;0,'Tav. 1.2 GdP x materia x indici'!H7/'Tav. 1.2 GdP x materia x indici'!G7," ")</f>
        <v>1.5</v>
      </c>
      <c r="H7" s="147">
        <f>IF(('Tav. 1.2 GdP x materia x indici'!F7+'Tav. 1.2 GdP x materia x indici'!G7)&gt;0,'Tav. 1.2 GdP x materia x indici'!H7/('Tav. 1.2 GdP x materia x indici'!F7+'Tav. 1.2 GdP x materia x indici'!G7)," ")</f>
        <v>0.375</v>
      </c>
      <c r="I7" s="148">
        <f>IF(('Tav. 1.2 GdP x materia x indici'!G7+'Tav. 1.2 GdP x materia x indici'!H7)&gt;0,('Tav. 1.2 GdP x materia x indici'!F7+'Tav. 1.2 GdP x materia x indici'!I7)/('Tav. 1.2 GdP x materia x indici'!G7+'Tav. 1.2 GdP x materia x indici'!H7)," ")</f>
        <v>2.2</v>
      </c>
      <c r="J7" s="147">
        <f>IF('Tav. 1.2 GdP x materia x indici'!J7&gt;0,('Tav. 1.2 GdP x materia x indici'!M7-'Tav. 1.2 GdP x materia x indici'!J7)/'Tav. 1.2 GdP x materia x indici'!J7," ")</f>
        <v>-0.08108108108108109</v>
      </c>
      <c r="K7" s="147">
        <f>IF('Tav. 1.2 GdP x materia x indici'!K7&gt;0,'Tav. 1.2 GdP x materia x indici'!L7/'Tav. 1.2 GdP x materia x indici'!K7," ")</f>
        <v>2.5</v>
      </c>
      <c r="L7" s="147">
        <f>IF(('Tav. 1.2 GdP x materia x indici'!J7+'Tav. 1.2 GdP x materia x indici'!K7)&gt;0,'Tav. 1.2 GdP x materia x indici'!L7/('Tav. 1.2 GdP x materia x indici'!J7+'Tav. 1.2 GdP x materia x indici'!K7)," ")</f>
        <v>0.1282051282051282</v>
      </c>
      <c r="M7" s="148">
        <f>IF(('Tav. 1.2 GdP x materia x indici'!K7+'Tav. 1.2 GdP x materia x indici'!L7)&gt;0,('Tav. 1.2 GdP x materia x indici'!J7+'Tav. 1.2 GdP x materia x indici'!M7)/('Tav. 1.2 GdP x materia x indici'!K7+'Tav. 1.2 GdP x materia x indici'!L7)," ")</f>
        <v>10.142857142857142</v>
      </c>
      <c r="N7" s="147" t="str">
        <f>IF('Tav. 1.2 GdP x materia x indici'!N7&gt;0,('Tav. 1.2 GdP x materia x indici'!Q7-'Tav. 1.2 GdP x materia x indici'!N7)/'Tav. 1.2 GdP x materia x indici'!N7," ")</f>
        <v> </v>
      </c>
      <c r="O7" s="147" t="str">
        <f>IF('Tav. 1.2 GdP x materia x indici'!O7&gt;0,'Tav. 1.2 GdP x materia x indici'!P7/'Tav. 1.2 GdP x materia x indici'!O7," ")</f>
        <v> </v>
      </c>
      <c r="P7" s="147" t="str">
        <f>IF(('Tav. 1.2 GdP x materia x indici'!N7+'Tav. 1.2 GdP x materia x indici'!O7)&gt;0,'Tav. 1.2 GdP x materia x indici'!P7/('Tav. 1.2 GdP x materia x indici'!N7+'Tav. 1.2 GdP x materia x indici'!O7)," ")</f>
        <v> </v>
      </c>
      <c r="Q7" s="148" t="str">
        <f>IF(('Tav. 1.2 GdP x materia x indici'!O7+'Tav. 1.2 GdP x materia x indici'!P7)&gt;0,('Tav. 1.2 GdP x materia x indici'!N7+'Tav. 1.2 GdP x materia x indici'!Q7)/('Tav. 1.2 GdP x materia x indici'!O7+'Tav. 1.2 GdP x materia x indici'!P7)," ")</f>
        <v> </v>
      </c>
    </row>
    <row r="8" spans="1:17" s="347" customFormat="1" ht="15" customHeight="1">
      <c r="A8" s="690" t="s">
        <v>164</v>
      </c>
      <c r="B8" s="345" t="str">
        <f>IF('Tav. 1.2 GdP x materia x indici'!B8&gt;0,('Tav. 1.2 GdP x materia x indici'!E8-'Tav. 1.2 GdP x materia x indici'!B8)/'Tav. 1.2 GdP x materia x indici'!B8," ")</f>
        <v> </v>
      </c>
      <c r="C8" s="345" t="str">
        <f>IF('Tav. 1.2 GdP x materia x indici'!C8&gt;0,'Tav. 1.2 GdP x materia x indici'!D8/'Tav. 1.2 GdP x materia x indici'!C8," ")</f>
        <v> </v>
      </c>
      <c r="D8" s="345" t="str">
        <f>IF(('Tav. 1.2 GdP x materia x indici'!B8+'Tav. 1.2 GdP x materia x indici'!C8)&gt;0,'Tav. 1.2 GdP x materia x indici'!D8/('Tav. 1.2 GdP x materia x indici'!B8+'Tav. 1.2 GdP x materia x indici'!C8)," ")</f>
        <v> </v>
      </c>
      <c r="E8" s="346" t="str">
        <f>IF(('Tav. 1.2 GdP x materia x indici'!C8+'Tav. 1.2 GdP x materia x indici'!D8)&gt;0,('Tav. 1.2 GdP x materia x indici'!B8+'Tav. 1.2 GdP x materia x indici'!E8)/('Tav. 1.2 GdP x materia x indici'!C8+'Tav. 1.2 GdP x materia x indici'!D8)," ")</f>
        <v> </v>
      </c>
      <c r="F8" s="345" t="str">
        <f>IF('Tav. 1.2 GdP x materia x indici'!F8&gt;0,('Tav. 1.2 GdP x materia x indici'!I8-'Tav. 1.2 GdP x materia x indici'!F8)/'Tav. 1.2 GdP x materia x indici'!F8," ")</f>
        <v> </v>
      </c>
      <c r="G8" s="345" t="str">
        <f>IF('Tav. 1.2 GdP x materia x indici'!G8&gt;0,'Tav. 1.2 GdP x materia x indici'!H8/'Tav. 1.2 GdP x materia x indici'!G8," ")</f>
        <v> </v>
      </c>
      <c r="H8" s="345" t="str">
        <f>IF(('Tav. 1.2 GdP x materia x indici'!F8+'Tav. 1.2 GdP x materia x indici'!G8)&gt;0,'Tav. 1.2 GdP x materia x indici'!H8/('Tav. 1.2 GdP x materia x indici'!F8+'Tav. 1.2 GdP x materia x indici'!G8)," ")</f>
        <v> </v>
      </c>
      <c r="I8" s="346" t="str">
        <f>IF(('Tav. 1.2 GdP x materia x indici'!G8+'Tav. 1.2 GdP x materia x indici'!H8)&gt;0,('Tav. 1.2 GdP x materia x indici'!F8+'Tav. 1.2 GdP x materia x indici'!I8)/('Tav. 1.2 GdP x materia x indici'!G8+'Tav. 1.2 GdP x materia x indici'!H8)," ")</f>
        <v> </v>
      </c>
      <c r="J8" s="345" t="str">
        <f>IF('Tav. 1.2 GdP x materia x indici'!J8&gt;0,('Tav. 1.2 GdP x materia x indici'!M8-'Tav. 1.2 GdP x materia x indici'!J8)/'Tav. 1.2 GdP x materia x indici'!J8," ")</f>
        <v> </v>
      </c>
      <c r="K8" s="345" t="str">
        <f>IF('Tav. 1.2 GdP x materia x indici'!K8&gt;0,'Tav. 1.2 GdP x materia x indici'!L8/'Tav. 1.2 GdP x materia x indici'!K8," ")</f>
        <v> </v>
      </c>
      <c r="L8" s="345" t="str">
        <f>IF(('Tav. 1.2 GdP x materia x indici'!J8+'Tav. 1.2 GdP x materia x indici'!K8)&gt;0,'Tav. 1.2 GdP x materia x indici'!L8/('Tav. 1.2 GdP x materia x indici'!J8+'Tav. 1.2 GdP x materia x indici'!K8)," ")</f>
        <v> </v>
      </c>
      <c r="M8" s="346" t="str">
        <f>IF(('Tav. 1.2 GdP x materia x indici'!K8+'Tav. 1.2 GdP x materia x indici'!L8)&gt;0,('Tav. 1.2 GdP x materia x indici'!J8+'Tav. 1.2 GdP x materia x indici'!M8)/('Tav. 1.2 GdP x materia x indici'!K8+'Tav. 1.2 GdP x materia x indici'!L8)," ")</f>
        <v> </v>
      </c>
      <c r="N8" s="345" t="str">
        <f>IF('Tav. 1.2 GdP x materia x indici'!N8&gt;0,('Tav. 1.2 GdP x materia x indici'!Q8-'Tav. 1.2 GdP x materia x indici'!N8)/'Tav. 1.2 GdP x materia x indici'!N8," ")</f>
        <v> </v>
      </c>
      <c r="O8" s="345" t="str">
        <f>IF('Tav. 1.2 GdP x materia x indici'!O8&gt;0,'Tav. 1.2 GdP x materia x indici'!P8/'Tav. 1.2 GdP x materia x indici'!O8," ")</f>
        <v> </v>
      </c>
      <c r="P8" s="345" t="str">
        <f>IF(('Tav. 1.2 GdP x materia x indici'!N8+'Tav. 1.2 GdP x materia x indici'!O8)&gt;0,'Tav. 1.2 GdP x materia x indici'!P8/('Tav. 1.2 GdP x materia x indici'!N8+'Tav. 1.2 GdP x materia x indici'!O8)," ")</f>
        <v> </v>
      </c>
      <c r="Q8" s="346" t="str">
        <f>IF(('Tav. 1.2 GdP x materia x indici'!O8+'Tav. 1.2 GdP x materia x indici'!P8)&gt;0,('Tav. 1.2 GdP x materia x indici'!N8+'Tav. 1.2 GdP x materia x indici'!Q8)/('Tav. 1.2 GdP x materia x indici'!O8+'Tav. 1.2 GdP x materia x indici'!P8)," ")</f>
        <v> </v>
      </c>
    </row>
    <row r="9" spans="1:17" s="18" customFormat="1" ht="15" customHeight="1">
      <c r="A9" s="42" t="s">
        <v>165</v>
      </c>
      <c r="B9" s="147">
        <f>IF('Tav. 1.2 GdP x materia x indici'!B9&gt;0,('Tav. 1.2 GdP x materia x indici'!E9-'Tav. 1.2 GdP x materia x indici'!B9)/'Tav. 1.2 GdP x materia x indici'!B9," ")</f>
        <v>-0.06896551724137931</v>
      </c>
      <c r="C9" s="147">
        <f>IF('Tav. 1.2 GdP x materia x indici'!C9&gt;0,'Tav. 1.2 GdP x materia x indici'!D9/'Tav. 1.2 GdP x materia x indici'!C9," ")</f>
        <v>1.3333333333333333</v>
      </c>
      <c r="D9" s="147">
        <f>IF(('Tav. 1.2 GdP x materia x indici'!B9+'Tav. 1.2 GdP x materia x indici'!C9)&gt;0,'Tav. 1.2 GdP x materia x indici'!D9/('Tav. 1.2 GdP x materia x indici'!B9+'Tav. 1.2 GdP x materia x indici'!C9)," ")</f>
        <v>0.22857142857142856</v>
      </c>
      <c r="E9" s="148">
        <f>IF(('Tav. 1.2 GdP x materia x indici'!C9+'Tav. 1.2 GdP x materia x indici'!D9)&gt;0,('Tav. 1.2 GdP x materia x indici'!B9+'Tav. 1.2 GdP x materia x indici'!E9)/('Tav. 1.2 GdP x materia x indici'!C9+'Tav. 1.2 GdP x materia x indici'!D9)," ")</f>
        <v>4</v>
      </c>
      <c r="F9" s="147">
        <f>IF('Tav. 1.2 GdP x materia x indici'!F9&gt;0,('Tav. 1.2 GdP x materia x indici'!I9-'Tav. 1.2 GdP x materia x indici'!F9)/'Tav. 1.2 GdP x materia x indici'!F9," ")</f>
        <v>-0.2236024844720497</v>
      </c>
      <c r="G9" s="147">
        <f>IF('Tav. 1.2 GdP x materia x indici'!G9&gt;0,'Tav. 1.2 GdP x materia x indici'!H9/'Tav. 1.2 GdP x materia x indici'!G9," ")</f>
        <v>7</v>
      </c>
      <c r="H9" s="147">
        <f>IF(('Tav. 1.2 GdP x materia x indici'!F9+'Tav. 1.2 GdP x materia x indici'!G9)&gt;0,'Tav. 1.2 GdP x materia x indici'!H9/('Tav. 1.2 GdP x materia x indici'!F9+'Tav. 1.2 GdP x materia x indici'!G9)," ")</f>
        <v>0.25149700598802394</v>
      </c>
      <c r="I9" s="148">
        <f>IF(('Tav. 1.2 GdP x materia x indici'!G9+'Tav. 1.2 GdP x materia x indici'!H9)&gt;0,('Tav. 1.2 GdP x materia x indici'!F9+'Tav. 1.2 GdP x materia x indici'!I9)/('Tav. 1.2 GdP x materia x indici'!G9+'Tav. 1.2 GdP x materia x indici'!H9)," ")</f>
        <v>5.958333333333333</v>
      </c>
      <c r="J9" s="147">
        <f>IF('Tav. 1.2 GdP x materia x indici'!J9&gt;0,('Tav. 1.2 GdP x materia x indici'!M9-'Tav. 1.2 GdP x materia x indici'!J9)/'Tav. 1.2 GdP x materia x indici'!J9," ")</f>
        <v>0.019801980198019802</v>
      </c>
      <c r="K9" s="147">
        <f>IF('Tav. 1.2 GdP x materia x indici'!K9&gt;0,'Tav. 1.2 GdP x materia x indici'!L9/'Tav. 1.2 GdP x materia x indici'!K9," ")</f>
        <v>0.8181818181818182</v>
      </c>
      <c r="L9" s="147">
        <f>IF(('Tav. 1.2 GdP x materia x indici'!J9+'Tav. 1.2 GdP x materia x indici'!K9)&gt;0,'Tav. 1.2 GdP x materia x indici'!L9/('Tav. 1.2 GdP x materia x indici'!J9+'Tav. 1.2 GdP x materia x indici'!K9)," ")</f>
        <v>0.08035714285714286</v>
      </c>
      <c r="M9" s="148">
        <f>IF(('Tav. 1.2 GdP x materia x indici'!K9+'Tav. 1.2 GdP x materia x indici'!L9)&gt;0,('Tav. 1.2 GdP x materia x indici'!J9+'Tav. 1.2 GdP x materia x indici'!M9)/('Tav. 1.2 GdP x materia x indici'!K9+'Tav. 1.2 GdP x materia x indici'!L9)," ")</f>
        <v>10.2</v>
      </c>
      <c r="N9" s="147" t="str">
        <f>IF('Tav. 1.2 GdP x materia x indici'!N9&gt;0,('Tav. 1.2 GdP x materia x indici'!Q9-'Tav. 1.2 GdP x materia x indici'!N9)/'Tav. 1.2 GdP x materia x indici'!N9," ")</f>
        <v> </v>
      </c>
      <c r="O9" s="147" t="str">
        <f>IF('Tav. 1.2 GdP x materia x indici'!O9&gt;0,'Tav. 1.2 GdP x materia x indici'!P9/'Tav. 1.2 GdP x materia x indici'!O9," ")</f>
        <v> </v>
      </c>
      <c r="P9" s="147" t="str">
        <f>IF(('Tav. 1.2 GdP x materia x indici'!N9+'Tav. 1.2 GdP x materia x indici'!O9)&gt;0,'Tav. 1.2 GdP x materia x indici'!P9/('Tav. 1.2 GdP x materia x indici'!N9+'Tav. 1.2 GdP x materia x indici'!O9)," ")</f>
        <v> </v>
      </c>
      <c r="Q9" s="148" t="str">
        <f>IF(('Tav. 1.2 GdP x materia x indici'!O9+'Tav. 1.2 GdP x materia x indici'!P9)&gt;0,('Tav. 1.2 GdP x materia x indici'!N9+'Tav. 1.2 GdP x materia x indici'!Q9)/('Tav. 1.2 GdP x materia x indici'!O9+'Tav. 1.2 GdP x materia x indici'!P9)," ")</f>
        <v> </v>
      </c>
    </row>
    <row r="10" spans="1:17" s="18" customFormat="1" ht="15" customHeight="1">
      <c r="A10" s="42" t="s">
        <v>166</v>
      </c>
      <c r="B10" s="147">
        <f>IF('Tav. 1.2 GdP x materia x indici'!B10&gt;0,('Tav. 1.2 GdP x materia x indici'!E10-'Tav. 1.2 GdP x materia x indici'!B10)/'Tav. 1.2 GdP x materia x indici'!B10," ")</f>
        <v>-0.8333333333333334</v>
      </c>
      <c r="C10" s="147">
        <f>IF('Tav. 1.2 GdP x materia x indici'!C10&gt;0,'Tav. 1.2 GdP x materia x indici'!D10/'Tav. 1.2 GdP x materia x indici'!C10," ")</f>
        <v>2.4285714285714284</v>
      </c>
      <c r="D10" s="147">
        <f>IF(('Tav. 1.2 GdP x materia x indici'!B10+'Tav. 1.2 GdP x materia x indici'!C10)&gt;0,'Tav. 1.2 GdP x materia x indici'!D10/('Tav. 1.2 GdP x materia x indici'!B10+'Tav. 1.2 GdP x materia x indici'!C10)," ")</f>
        <v>0.8947368421052632</v>
      </c>
      <c r="E10" s="148">
        <f>IF(('Tav. 1.2 GdP x materia x indici'!C10+'Tav. 1.2 GdP x materia x indici'!D10)&gt;0,('Tav. 1.2 GdP x materia x indici'!B10+'Tav. 1.2 GdP x materia x indici'!E10)/('Tav. 1.2 GdP x materia x indici'!C10+'Tav. 1.2 GdP x materia x indici'!D10)," ")</f>
        <v>0.5833333333333334</v>
      </c>
      <c r="F10" s="147" t="str">
        <f>IF('Tav. 1.2 GdP x materia x indici'!F10&gt;0,('Tav. 1.2 GdP x materia x indici'!I10-'Tav. 1.2 GdP x materia x indici'!F10)/'Tav. 1.2 GdP x materia x indici'!F10," ")</f>
        <v> </v>
      </c>
      <c r="G10" s="147" t="str">
        <f>IF('Tav. 1.2 GdP x materia x indici'!G10&gt;0,'Tav. 1.2 GdP x materia x indici'!H10/'Tav. 1.2 GdP x materia x indici'!G10," ")</f>
        <v> </v>
      </c>
      <c r="H10" s="147" t="str">
        <f>IF(('Tav. 1.2 GdP x materia x indici'!F10+'Tav. 1.2 GdP x materia x indici'!G10)&gt;0,'Tav. 1.2 GdP x materia x indici'!H10/('Tav. 1.2 GdP x materia x indici'!F10+'Tav. 1.2 GdP x materia x indici'!G10)," ")</f>
        <v> </v>
      </c>
      <c r="I10" s="148" t="str">
        <f>IF(('Tav. 1.2 GdP x materia x indici'!G10+'Tav. 1.2 GdP x materia x indici'!H10)&gt;0,('Tav. 1.2 GdP x materia x indici'!F10+'Tav. 1.2 GdP x materia x indici'!I10)/('Tav. 1.2 GdP x materia x indici'!G10+'Tav. 1.2 GdP x materia x indici'!H10)," ")</f>
        <v> </v>
      </c>
      <c r="J10" s="147">
        <f>IF('Tav. 1.2 GdP x materia x indici'!J10&gt;0,('Tav. 1.2 GdP x materia x indici'!M10-'Tav. 1.2 GdP x materia x indici'!J10)/'Tav. 1.2 GdP x materia x indici'!J10," ")</f>
        <v>-0.42857142857142855</v>
      </c>
      <c r="K10" s="147" t="str">
        <f>IF('Tav. 1.2 GdP x materia x indici'!K10&gt;0,'Tav. 1.2 GdP x materia x indici'!L10/'Tav. 1.2 GdP x materia x indici'!K10," ")</f>
        <v> </v>
      </c>
      <c r="L10" s="147">
        <f>IF(('Tav. 1.2 GdP x materia x indici'!J10+'Tav. 1.2 GdP x materia x indici'!K10)&gt;0,'Tav. 1.2 GdP x materia x indici'!L10/('Tav. 1.2 GdP x materia x indici'!J10+'Tav. 1.2 GdP x materia x indici'!K10)," ")</f>
        <v>0.42857142857142855</v>
      </c>
      <c r="M10" s="148">
        <f>IF(('Tav. 1.2 GdP x materia x indici'!K10+'Tav. 1.2 GdP x materia x indici'!L10)&gt;0,('Tav. 1.2 GdP x materia x indici'!J10+'Tav. 1.2 GdP x materia x indici'!M10)/('Tav. 1.2 GdP x materia x indici'!K10+'Tav. 1.2 GdP x materia x indici'!L10)," ")</f>
        <v>3.6666666666666665</v>
      </c>
      <c r="N10" s="147" t="str">
        <f>IF('Tav. 1.2 GdP x materia x indici'!N10&gt;0,('Tav. 1.2 GdP x materia x indici'!Q10-'Tav. 1.2 GdP x materia x indici'!N10)/'Tav. 1.2 GdP x materia x indici'!N10," ")</f>
        <v> </v>
      </c>
      <c r="O10" s="147" t="str">
        <f>IF('Tav. 1.2 GdP x materia x indici'!O10&gt;0,'Tav. 1.2 GdP x materia x indici'!P10/'Tav. 1.2 GdP x materia x indici'!O10," ")</f>
        <v> </v>
      </c>
      <c r="P10" s="147" t="str">
        <f>IF(('Tav. 1.2 GdP x materia x indici'!N10+'Tav. 1.2 GdP x materia x indici'!O10)&gt;0,'Tav. 1.2 GdP x materia x indici'!P10/('Tav. 1.2 GdP x materia x indici'!N10+'Tav. 1.2 GdP x materia x indici'!O10)," ")</f>
        <v> </v>
      </c>
      <c r="Q10" s="148" t="str">
        <f>IF(('Tav. 1.2 GdP x materia x indici'!O10+'Tav. 1.2 GdP x materia x indici'!P10)&gt;0,('Tav. 1.2 GdP x materia x indici'!N10+'Tav. 1.2 GdP x materia x indici'!Q10)/('Tav. 1.2 GdP x materia x indici'!O10+'Tav. 1.2 GdP x materia x indici'!P10)," ")</f>
        <v> </v>
      </c>
    </row>
    <row r="11" spans="1:17" s="13" customFormat="1" ht="12.75">
      <c r="A11" s="44" t="s">
        <v>160</v>
      </c>
      <c r="B11" s="301">
        <f>IF('Tav. 1.2 GdP x materia x indici'!B11&gt;0,('Tav. 1.2 GdP x materia x indici'!E11-'Tav. 1.2 GdP x materia x indici'!B11)/'Tav. 1.2 GdP x materia x indici'!B11," ")</f>
        <v>-0.08024691358024691</v>
      </c>
      <c r="C11" s="301">
        <f>IF('Tav. 1.2 GdP x materia x indici'!C11&gt;0,'Tav. 1.2 GdP x materia x indici'!D11/'Tav. 1.2 GdP x materia x indici'!C11," ")</f>
        <v>1.0822784810126582</v>
      </c>
      <c r="D11" s="301">
        <f>IF(('Tav. 1.2 GdP x materia x indici'!B11+'Tav. 1.2 GdP x materia x indici'!C11)&gt;0,'Tav. 1.2 GdP x materia x indici'!D11/('Tav. 1.2 GdP x materia x indici'!B11+'Tav. 1.2 GdP x materia x indici'!C11)," ")</f>
        <v>0.534375</v>
      </c>
      <c r="E11" s="302">
        <f>IF(('Tav. 1.2 GdP x materia x indici'!C11+'Tav. 1.2 GdP x materia x indici'!D11)&gt;0,('Tav. 1.2 GdP x materia x indici'!B11+'Tav. 1.2 GdP x materia x indici'!E11)/('Tav. 1.2 GdP x materia x indici'!C11+'Tav. 1.2 GdP x materia x indici'!D11)," ")</f>
        <v>0.9452887537993921</v>
      </c>
      <c r="F11" s="301">
        <f>IF('Tav. 1.2 GdP x materia x indici'!F11&gt;0,('Tav. 1.2 GdP x materia x indici'!I11-'Tav. 1.2 GdP x materia x indici'!F11)/'Tav. 1.2 GdP x materia x indici'!F11," ")</f>
        <v>-0.10572687224669604</v>
      </c>
      <c r="G11" s="301">
        <f>IF('Tav. 1.2 GdP x materia x indici'!G11&gt;0,'Tav. 1.2 GdP x materia x indici'!H11/'Tav. 1.2 GdP x materia x indici'!G11," ")</f>
        <v>1.1610738255033557</v>
      </c>
      <c r="H11" s="301">
        <f>IF(('Tav. 1.2 GdP x materia x indici'!F11+'Tav. 1.2 GdP x materia x indici'!G11)&gt;0,'Tav. 1.2 GdP x materia x indici'!H11/('Tav. 1.2 GdP x materia x indici'!F11+'Tav. 1.2 GdP x materia x indici'!G11)," ")</f>
        <v>0.4601063829787234</v>
      </c>
      <c r="I11" s="302">
        <f>IF(('Tav. 1.2 GdP x materia x indici'!G11+'Tav. 1.2 GdP x materia x indici'!H11)&gt;0,('Tav. 1.2 GdP x materia x indici'!F11+'Tav. 1.2 GdP x materia x indici'!I11)/('Tav. 1.2 GdP x materia x indici'!G11+'Tav. 1.2 GdP x materia x indici'!H11)," ")</f>
        <v>1.3354037267080745</v>
      </c>
      <c r="J11" s="301">
        <f>IF('Tav. 1.2 GdP x materia x indici'!J11&gt;0,('Tav. 1.2 GdP x materia x indici'!M11-'Tav. 1.2 GdP x materia x indici'!J11)/'Tav. 1.2 GdP x materia x indici'!J11," ")</f>
        <v>-0.09312638580931264</v>
      </c>
      <c r="K11" s="301">
        <f>IF('Tav. 1.2 GdP x materia x indici'!K11&gt;0,'Tav. 1.2 GdP x materia x indici'!L11/'Tav. 1.2 GdP x materia x indici'!K11," ")</f>
        <v>1.168</v>
      </c>
      <c r="L11" s="301">
        <f>IF(('Tav. 1.2 GdP x materia x indici'!J11+'Tav. 1.2 GdP x materia x indici'!K11)&gt;0,'Tav. 1.2 GdP x materia x indici'!L11/('Tav. 1.2 GdP x materia x indici'!J11+'Tav. 1.2 GdP x materia x indici'!K11)," ")</f>
        <v>0.4165477888730385</v>
      </c>
      <c r="M11" s="302">
        <f>IF(('Tav. 1.2 GdP x materia x indici'!K11+'Tav. 1.2 GdP x materia x indici'!L11)&gt;0,('Tav. 1.2 GdP x materia x indici'!J11+'Tav. 1.2 GdP x materia x indici'!M11)/('Tav. 1.2 GdP x materia x indici'!K11+'Tav. 1.2 GdP x materia x indici'!L11)," ")</f>
        <v>1.5867158671586716</v>
      </c>
      <c r="N11" s="301" t="str">
        <f>IF('Tav. 1.2 GdP x materia x indici'!N11&gt;0,('Tav. 1.2 GdP x materia x indici'!Q11-'Tav. 1.2 GdP x materia x indici'!N11)/'Tav. 1.2 GdP x materia x indici'!N11," ")</f>
        <v> </v>
      </c>
      <c r="O11" s="301" t="str">
        <f>IF('Tav. 1.2 GdP x materia x indici'!O11&gt;0,'Tav. 1.2 GdP x materia x indici'!P11/'Tav. 1.2 GdP x materia x indici'!O11," ")</f>
        <v> </v>
      </c>
      <c r="P11" s="301" t="str">
        <f>IF(('Tav. 1.2 GdP x materia x indici'!N11+'Tav. 1.2 GdP x materia x indici'!O11)&gt;0,'Tav. 1.2 GdP x materia x indici'!P11/('Tav. 1.2 GdP x materia x indici'!N11+'Tav. 1.2 GdP x materia x indici'!O11)," ")</f>
        <v> </v>
      </c>
      <c r="Q11" s="302" t="str">
        <f>IF(('Tav. 1.2 GdP x materia x indici'!O11+'Tav. 1.2 GdP x materia x indici'!P11)&gt;0,('Tav. 1.2 GdP x materia x indici'!N11+'Tav. 1.2 GdP x materia x indici'!Q11)/('Tav. 1.2 GdP x materia x indici'!O11+'Tav. 1.2 GdP x materia x indici'!P11)," ")</f>
        <v> </v>
      </c>
    </row>
    <row r="12" spans="1:17" s="18" customFormat="1" ht="15" customHeight="1">
      <c r="A12" s="42" t="s">
        <v>169</v>
      </c>
      <c r="B12" s="147">
        <f>IF('Tav. 1.2 GdP x materia x indici'!B12&gt;0,('Tav. 1.2 GdP x materia x indici'!E12-'Tav. 1.2 GdP x materia x indici'!B12)/'Tav. 1.2 GdP x materia x indici'!B12," ")</f>
        <v>-0.25679012345679014</v>
      </c>
      <c r="C12" s="147">
        <f>IF('Tav. 1.2 GdP x materia x indici'!C12&gt;0,'Tav. 1.2 GdP x materia x indici'!D12/'Tav. 1.2 GdP x materia x indici'!C12," ")</f>
        <v>1.284153005464481</v>
      </c>
      <c r="D12" s="147">
        <f>IF(('Tav. 1.2 GdP x materia x indici'!B12+'Tav. 1.2 GdP x materia x indici'!C12)&gt;0,'Tav. 1.2 GdP x materia x indici'!D12/('Tav. 1.2 GdP x materia x indici'!B12+'Tav. 1.2 GdP x materia x indici'!C12)," ")</f>
        <v>0.6095979247730221</v>
      </c>
      <c r="E12" s="148">
        <f>IF(('Tav. 1.2 GdP x materia x indici'!C12+'Tav. 1.2 GdP x materia x indici'!D12)&gt;0,('Tav. 1.2 GdP x materia x indici'!B12+'Tav. 1.2 GdP x materia x indici'!E12)/('Tav. 1.2 GdP x materia x indici'!C12+'Tav. 1.2 GdP x materia x indici'!D12)," ")</f>
        <v>0.8444976076555024</v>
      </c>
      <c r="F12" s="147">
        <f>IF('Tav. 1.2 GdP x materia x indici'!F12&gt;0,('Tav. 1.2 GdP x materia x indici'!I12-'Tav. 1.2 GdP x materia x indici'!F12)/'Tav. 1.2 GdP x materia x indici'!F12," ")</f>
        <v>15</v>
      </c>
      <c r="G12" s="147">
        <f>IF('Tav. 1.2 GdP x materia x indici'!G12&gt;0,'Tav. 1.2 GdP x materia x indici'!H12/'Tav. 1.2 GdP x materia x indici'!G12," ")</f>
        <v>0.5664739884393064</v>
      </c>
      <c r="H12" s="147">
        <f>IF(('Tav. 1.2 GdP x materia x indici'!F12+'Tav. 1.2 GdP x materia x indici'!G12)&gt;0,'Tav. 1.2 GdP x materia x indici'!H12/('Tav. 1.2 GdP x materia x indici'!F12+'Tav. 1.2 GdP x materia x indici'!G12)," ")</f>
        <v>0.550561797752809</v>
      </c>
      <c r="I12" s="148">
        <f>IF(('Tav. 1.2 GdP x materia x indici'!G12+'Tav. 1.2 GdP x materia x indici'!H12)&gt;0,('Tav. 1.2 GdP x materia x indici'!F12+'Tav. 1.2 GdP x materia x indici'!I12)/('Tav. 1.2 GdP x materia x indici'!G12+'Tav. 1.2 GdP x materia x indici'!H12)," ")</f>
        <v>0.31365313653136534</v>
      </c>
      <c r="J12" s="147">
        <f>IF('Tav. 1.2 GdP x materia x indici'!J12&gt;0,('Tav. 1.2 GdP x materia x indici'!M12-'Tav. 1.2 GdP x materia x indici'!J12)/'Tav. 1.2 GdP x materia x indici'!J12," ")</f>
        <v>0.2262295081967213</v>
      </c>
      <c r="K12" s="147">
        <f>IF('Tav. 1.2 GdP x materia x indici'!K12&gt;0,'Tav. 1.2 GdP x materia x indici'!L12/'Tav. 1.2 GdP x materia x indici'!K12," ")</f>
        <v>0.8466666666666667</v>
      </c>
      <c r="L12" s="147">
        <f>IF(('Tav. 1.2 GdP x materia x indici'!J12+'Tav. 1.2 GdP x materia x indici'!K12)&gt;0,'Tav. 1.2 GdP x materia x indici'!L12/('Tav. 1.2 GdP x materia x indici'!J12+'Tav. 1.2 GdP x materia x indici'!K12)," ")</f>
        <v>0.5046357615894039</v>
      </c>
      <c r="M12" s="148">
        <f>IF(('Tav. 1.2 GdP x materia x indici'!K12+'Tav. 1.2 GdP x materia x indici'!L12)&gt;0,('Tav. 1.2 GdP x materia x indici'!J12+'Tav. 1.2 GdP x materia x indici'!M12)/('Tav. 1.2 GdP x materia x indici'!K12+'Tav. 1.2 GdP x materia x indici'!L12)," ")</f>
        <v>0.8170878459687124</v>
      </c>
      <c r="N12" s="147" t="str">
        <f>IF('Tav. 1.2 GdP x materia x indici'!N12&gt;0,('Tav. 1.2 GdP x materia x indici'!Q12-'Tav. 1.2 GdP x materia x indici'!N12)/'Tav. 1.2 GdP x materia x indici'!N12," ")</f>
        <v> </v>
      </c>
      <c r="O12" s="147" t="str">
        <f>IF('Tav. 1.2 GdP x materia x indici'!O12&gt;0,'Tav. 1.2 GdP x materia x indici'!P12/'Tav. 1.2 GdP x materia x indici'!O12," ")</f>
        <v> </v>
      </c>
      <c r="P12" s="147" t="str">
        <f>IF(('Tav. 1.2 GdP x materia x indici'!N12+'Tav. 1.2 GdP x materia x indici'!O12)&gt;0,'Tav. 1.2 GdP x materia x indici'!P12/('Tav. 1.2 GdP x materia x indici'!N12+'Tav. 1.2 GdP x materia x indici'!O12)," ")</f>
        <v> </v>
      </c>
      <c r="Q12" s="148" t="str">
        <f>IF(('Tav. 1.2 GdP x materia x indici'!O12+'Tav. 1.2 GdP x materia x indici'!P12)&gt;0,('Tav. 1.2 GdP x materia x indici'!N12+'Tav. 1.2 GdP x materia x indici'!Q12)/('Tav. 1.2 GdP x materia x indici'!O12+'Tav. 1.2 GdP x materia x indici'!P12)," ")</f>
        <v> </v>
      </c>
    </row>
    <row r="13" spans="1:17" s="18" customFormat="1" ht="15" customHeight="1">
      <c r="A13" s="42" t="s">
        <v>170</v>
      </c>
      <c r="B13" s="147">
        <f>IF('Tav. 1.2 GdP x materia x indici'!B13&gt;0,('Tav. 1.2 GdP x materia x indici'!E13-'Tav. 1.2 GdP x materia x indici'!B13)/'Tav. 1.2 GdP x materia x indici'!B13," ")</f>
        <v>-0.1</v>
      </c>
      <c r="C13" s="147">
        <f>IF('Tav. 1.2 GdP x materia x indici'!C13&gt;0,'Tav. 1.2 GdP x materia x indici'!D13/'Tav. 1.2 GdP x materia x indici'!C13," ")</f>
        <v>1.0909090909090908</v>
      </c>
      <c r="D13" s="147">
        <f>IF(('Tav. 1.2 GdP x materia x indici'!B13+'Tav. 1.2 GdP x materia x indici'!C13)&gt;0,'Tav. 1.2 GdP x materia x indici'!D13/('Tav. 1.2 GdP x materia x indici'!B13+'Tav. 1.2 GdP x materia x indici'!C13)," ")</f>
        <v>0.5714285714285714</v>
      </c>
      <c r="E13" s="148">
        <f>IF(('Tav. 1.2 GdP x materia x indici'!C13+'Tav. 1.2 GdP x materia x indici'!D13)&gt;0,('Tav. 1.2 GdP x materia x indici'!B13+'Tav. 1.2 GdP x materia x indici'!E13)/('Tav. 1.2 GdP x materia x indici'!C13+'Tav. 1.2 GdP x materia x indici'!D13)," ")</f>
        <v>0.8260869565217391</v>
      </c>
      <c r="F13" s="147">
        <f>IF('Tav. 1.2 GdP x materia x indici'!F13&gt;0,('Tav. 1.2 GdP x materia x indici'!I13-'Tav. 1.2 GdP x materia x indici'!F13)/'Tav. 1.2 GdP x materia x indici'!F13," ")</f>
        <v>0.12857142857142856</v>
      </c>
      <c r="G13" s="147">
        <f>IF('Tav. 1.2 GdP x materia x indici'!G13&gt;0,'Tav. 1.2 GdP x materia x indici'!H13/'Tav. 1.2 GdP x materia x indici'!G13," ")</f>
        <v>0.7</v>
      </c>
      <c r="H13" s="147">
        <f>IF(('Tav. 1.2 GdP x materia x indici'!F13+'Tav. 1.2 GdP x materia x indici'!G13)&gt;0,'Tav. 1.2 GdP x materia x indici'!H13/('Tav. 1.2 GdP x materia x indici'!F13+'Tav. 1.2 GdP x materia x indici'!G13)," ")</f>
        <v>0.21</v>
      </c>
      <c r="I13" s="148">
        <f>IF(('Tav. 1.2 GdP x materia x indici'!G13+'Tav. 1.2 GdP x materia x indici'!H13)&gt;0,('Tav. 1.2 GdP x materia x indici'!F13+'Tav. 1.2 GdP x materia x indici'!I13)/('Tav. 1.2 GdP x materia x indici'!G13+'Tav. 1.2 GdP x materia x indici'!H13)," ")</f>
        <v>2.9215686274509802</v>
      </c>
      <c r="J13" s="147">
        <f>IF('Tav. 1.2 GdP x materia x indici'!J13&gt;0,('Tav. 1.2 GdP x materia x indici'!M13-'Tav. 1.2 GdP x materia x indici'!J13)/'Tav. 1.2 GdP x materia x indici'!J13," ")</f>
        <v>-0.12012012012012012</v>
      </c>
      <c r="K13" s="147">
        <f>IF('Tav. 1.2 GdP x materia x indici'!K13&gt;0,'Tav. 1.2 GdP x materia x indici'!L13/'Tav. 1.2 GdP x materia x indici'!K13," ")</f>
        <v>1.396039603960396</v>
      </c>
      <c r="L13" s="147">
        <f>IF(('Tav. 1.2 GdP x materia x indici'!J13+'Tav. 1.2 GdP x materia x indici'!K13)&gt;0,'Tav. 1.2 GdP x materia x indici'!L13/('Tav. 1.2 GdP x materia x indici'!J13+'Tav. 1.2 GdP x materia x indici'!K13)," ")</f>
        <v>0.3248847926267281</v>
      </c>
      <c r="M13" s="148">
        <f>IF(('Tav. 1.2 GdP x materia x indici'!K13+'Tav. 1.2 GdP x materia x indici'!L13)&gt;0,('Tav. 1.2 GdP x materia x indici'!J13+'Tav. 1.2 GdP x materia x indici'!M13)/('Tav. 1.2 GdP x materia x indici'!K13+'Tav. 1.2 GdP x materia x indici'!L13)," ")</f>
        <v>2.5867768595041323</v>
      </c>
      <c r="N13" s="147" t="str">
        <f>IF('Tav. 1.2 GdP x materia x indici'!N13&gt;0,('Tav. 1.2 GdP x materia x indici'!Q13-'Tav. 1.2 GdP x materia x indici'!N13)/'Tav. 1.2 GdP x materia x indici'!N13," ")</f>
        <v> </v>
      </c>
      <c r="O13" s="147" t="str">
        <f>IF('Tav. 1.2 GdP x materia x indici'!O13&gt;0,'Tav. 1.2 GdP x materia x indici'!P13/'Tav. 1.2 GdP x materia x indici'!O13," ")</f>
        <v> </v>
      </c>
      <c r="P13" s="147" t="str">
        <f>IF(('Tav. 1.2 GdP x materia x indici'!N13+'Tav. 1.2 GdP x materia x indici'!O13)&gt;0,'Tav. 1.2 GdP x materia x indici'!P13/('Tav. 1.2 GdP x materia x indici'!N13+'Tav. 1.2 GdP x materia x indici'!O13)," ")</f>
        <v> </v>
      </c>
      <c r="Q13" s="148" t="str">
        <f>IF(('Tav. 1.2 GdP x materia x indici'!O13+'Tav. 1.2 GdP x materia x indici'!P13)&gt;0,('Tav. 1.2 GdP x materia x indici'!N13+'Tav. 1.2 GdP x materia x indici'!Q13)/('Tav. 1.2 GdP x materia x indici'!O13+'Tav. 1.2 GdP x materia x indici'!P13)," ")</f>
        <v> </v>
      </c>
    </row>
    <row r="14" spans="1:17" s="18" customFormat="1" ht="15" customHeight="1">
      <c r="A14" s="42" t="s">
        <v>171</v>
      </c>
      <c r="B14" s="147">
        <f>IF('Tav. 1.2 GdP x materia x indici'!B14&gt;0,('Tav. 1.2 GdP x materia x indici'!E14-'Tav. 1.2 GdP x materia x indici'!B14)/'Tav. 1.2 GdP x materia x indici'!B14," ")</f>
        <v>-0.08695652173913043</v>
      </c>
      <c r="C14" s="147">
        <f>IF('Tav. 1.2 GdP x materia x indici'!C14&gt;0,'Tav. 1.2 GdP x materia x indici'!D14/'Tav. 1.2 GdP x materia x indici'!C14," ")</f>
        <v>1.1333333333333333</v>
      </c>
      <c r="D14" s="147">
        <f>IF(('Tav. 1.2 GdP x materia x indici'!B14+'Tav. 1.2 GdP x materia x indici'!C14)&gt;0,'Tav. 1.2 GdP x materia x indici'!D14/('Tav. 1.2 GdP x materia x indici'!B14+'Tav. 1.2 GdP x materia x indici'!C14)," ")</f>
        <v>0.4473684210526316</v>
      </c>
      <c r="E14" s="148">
        <f>IF(('Tav. 1.2 GdP x materia x indici'!C14+'Tav. 1.2 GdP x materia x indici'!D14)&gt;0,('Tav. 1.2 GdP x materia x indici'!B14+'Tav. 1.2 GdP x materia x indici'!E14)/('Tav. 1.2 GdP x materia x indici'!C14+'Tav. 1.2 GdP x materia x indici'!D14)," ")</f>
        <v>1.375</v>
      </c>
      <c r="F14" s="147">
        <f>IF('Tav. 1.2 GdP x materia x indici'!F14&gt;0,('Tav. 1.2 GdP x materia x indici'!I14-'Tav. 1.2 GdP x materia x indici'!F14)/'Tav. 1.2 GdP x materia x indici'!F14," ")</f>
        <v>7</v>
      </c>
      <c r="G14" s="147">
        <f>IF('Tav. 1.2 GdP x materia x indici'!G14&gt;0,'Tav. 1.2 GdP x materia x indici'!H14/'Tav. 1.2 GdP x materia x indici'!G14," ")</f>
        <v>0.8478260869565217</v>
      </c>
      <c r="H14" s="147">
        <f>IF(('Tav. 1.2 GdP x materia x indici'!F14+'Tav. 1.2 GdP x materia x indici'!G14)&gt;0,'Tav. 1.2 GdP x materia x indici'!H14/('Tav. 1.2 GdP x materia x indici'!F14+'Tav. 1.2 GdP x materia x indici'!G14)," ")</f>
        <v>0.8297872340425532</v>
      </c>
      <c r="I14" s="148">
        <f>IF(('Tav. 1.2 GdP x materia x indici'!G14+'Tav. 1.2 GdP x materia x indici'!H14)&gt;0,('Tav. 1.2 GdP x materia x indici'!F14+'Tav. 1.2 GdP x materia x indici'!I14)/('Tav. 1.2 GdP x materia x indici'!G14+'Tav. 1.2 GdP x materia x indici'!H14)," ")</f>
        <v>0.10588235294117647</v>
      </c>
      <c r="J14" s="147">
        <f>IF('Tav. 1.2 GdP x materia x indici'!J14&gt;0,('Tav. 1.2 GdP x materia x indici'!M14-'Tav. 1.2 GdP x materia x indici'!J14)/'Tav. 1.2 GdP x materia x indici'!J14," ")</f>
        <v>-0.17289719626168223</v>
      </c>
      <c r="K14" s="147">
        <f>IF('Tav. 1.2 GdP x materia x indici'!K14&gt;0,'Tav. 1.2 GdP x materia x indici'!L14/'Tav. 1.2 GdP x materia x indici'!K14," ")</f>
        <v>1.4352941176470588</v>
      </c>
      <c r="L14" s="147">
        <f>IF(('Tav. 1.2 GdP x materia x indici'!J14+'Tav. 1.2 GdP x materia x indici'!K14)&gt;0,'Tav. 1.2 GdP x materia x indici'!L14/('Tav. 1.2 GdP x materia x indici'!J14+'Tav. 1.2 GdP x materia x indici'!K14)," ")</f>
        <v>0.4080267558528428</v>
      </c>
      <c r="M14" s="148">
        <f>IF(('Tav. 1.2 GdP x materia x indici'!K14+'Tav. 1.2 GdP x materia x indici'!L14)&gt;0,('Tav. 1.2 GdP x materia x indici'!J14+'Tav. 1.2 GdP x materia x indici'!M14)/('Tav. 1.2 GdP x materia x indici'!K14+'Tav. 1.2 GdP x materia x indici'!L14)," ")</f>
        <v>1.8888888888888888</v>
      </c>
      <c r="N14" s="147" t="str">
        <f>IF('Tav. 1.2 GdP x materia x indici'!N14&gt;0,('Tav. 1.2 GdP x materia x indici'!Q14-'Tav. 1.2 GdP x materia x indici'!N14)/'Tav. 1.2 GdP x materia x indici'!N14," ")</f>
        <v> </v>
      </c>
      <c r="O14" s="147" t="str">
        <f>IF('Tav. 1.2 GdP x materia x indici'!O14&gt;0,'Tav. 1.2 GdP x materia x indici'!P14/'Tav. 1.2 GdP x materia x indici'!O14," ")</f>
        <v> </v>
      </c>
      <c r="P14" s="147" t="str">
        <f>IF(('Tav. 1.2 GdP x materia x indici'!N14+'Tav. 1.2 GdP x materia x indici'!O14)&gt;0,'Tav. 1.2 GdP x materia x indici'!P14/('Tav. 1.2 GdP x materia x indici'!N14+'Tav. 1.2 GdP x materia x indici'!O14)," ")</f>
        <v> </v>
      </c>
      <c r="Q14" s="148" t="str">
        <f>IF(('Tav. 1.2 GdP x materia x indici'!O14+'Tav. 1.2 GdP x materia x indici'!P14)&gt;0,('Tav. 1.2 GdP x materia x indici'!N14+'Tav. 1.2 GdP x materia x indici'!Q14)/('Tav. 1.2 GdP x materia x indici'!O14+'Tav. 1.2 GdP x materia x indici'!P14)," ")</f>
        <v> </v>
      </c>
    </row>
    <row r="15" spans="1:17" s="18" customFormat="1" ht="15" customHeight="1">
      <c r="A15" s="42" t="s">
        <v>172</v>
      </c>
      <c r="B15" s="147">
        <f>IF('Tav. 1.2 GdP x materia x indici'!B15&gt;0,('Tav. 1.2 GdP x materia x indici'!E15-'Tav. 1.2 GdP x materia x indici'!B15)/'Tav. 1.2 GdP x materia x indici'!B15," ")</f>
        <v>-0.5</v>
      </c>
      <c r="C15" s="147">
        <f>IF('Tav. 1.2 GdP x materia x indici'!C15&gt;0,'Tav. 1.2 GdP x materia x indici'!D15/'Tav. 1.2 GdP x materia x indici'!C15," ")</f>
        <v>1.1818181818181819</v>
      </c>
      <c r="D15" s="147">
        <f>IF(('Tav. 1.2 GdP x materia x indici'!B15+'Tav. 1.2 GdP x materia x indici'!C15)&gt;0,'Tav. 1.2 GdP x materia x indici'!D15/('Tav. 1.2 GdP x materia x indici'!B15+'Tav. 1.2 GdP x materia x indici'!C15)," ")</f>
        <v>0.8666666666666667</v>
      </c>
      <c r="E15" s="148">
        <f>IF(('Tav. 1.2 GdP x materia x indici'!C15+'Tav. 1.2 GdP x materia x indici'!D15)&gt;0,('Tav. 1.2 GdP x materia x indici'!B15+'Tav. 1.2 GdP x materia x indici'!E15)/('Tav. 1.2 GdP x materia x indici'!C15+'Tav. 1.2 GdP x materia x indici'!D15)," ")</f>
        <v>0.25</v>
      </c>
      <c r="F15" s="147">
        <f>IF('Tav. 1.2 GdP x materia x indici'!F15&gt;0,('Tav. 1.2 GdP x materia x indici'!I15-'Tav. 1.2 GdP x materia x indici'!F15)/'Tav. 1.2 GdP x materia x indici'!F15," ")</f>
        <v>-0.42592592592592593</v>
      </c>
      <c r="G15" s="147">
        <f>IF('Tav. 1.2 GdP x materia x indici'!G15&gt;0,'Tav. 1.2 GdP x materia x indici'!H15/'Tav. 1.2 GdP x materia x indici'!G15," ")</f>
        <v>1.14375</v>
      </c>
      <c r="H15" s="147">
        <f>IF(('Tav. 1.2 GdP x materia x indici'!F15+'Tav. 1.2 GdP x materia x indici'!G15)&gt;0,'Tav. 1.2 GdP x materia x indici'!H15/('Tav. 1.2 GdP x materia x indici'!F15+'Tav. 1.2 GdP x materia x indici'!G15)," ")</f>
        <v>0.8551401869158879</v>
      </c>
      <c r="I15" s="148">
        <f>IF(('Tav. 1.2 GdP x materia x indici'!G15+'Tav. 1.2 GdP x materia x indici'!H15)&gt;0,('Tav. 1.2 GdP x materia x indici'!F15+'Tav. 1.2 GdP x materia x indici'!I15)/('Tav. 1.2 GdP x materia x indici'!G15+'Tav. 1.2 GdP x materia x indici'!H15)," ")</f>
        <v>0.2478134110787172</v>
      </c>
      <c r="J15" s="147">
        <f>IF('Tav. 1.2 GdP x materia x indici'!J15&gt;0,('Tav. 1.2 GdP x materia x indici'!M15-'Tav. 1.2 GdP x materia x indici'!J15)/'Tav. 1.2 GdP x materia x indici'!J15," ")</f>
        <v>-0.17355371900826447</v>
      </c>
      <c r="K15" s="147">
        <f>IF('Tav. 1.2 GdP x materia x indici'!K15&gt;0,'Tav. 1.2 GdP x materia x indici'!L15/'Tav. 1.2 GdP x materia x indici'!K15," ")</f>
        <v>1.1794871794871795</v>
      </c>
      <c r="L15" s="147">
        <f>IF(('Tav. 1.2 GdP x materia x indici'!J15+'Tav. 1.2 GdP x materia x indici'!K15)&gt;0,'Tav. 1.2 GdP x materia x indici'!L15/('Tav. 1.2 GdP x materia x indici'!J15+'Tav. 1.2 GdP x materia x indici'!K15)," ")</f>
        <v>0.5798319327731093</v>
      </c>
      <c r="M15" s="148">
        <f>IF(('Tav. 1.2 GdP x materia x indici'!K15+'Tav. 1.2 GdP x materia x indici'!L15)&gt;0,('Tav. 1.2 GdP x materia x indici'!J15+'Tav. 1.2 GdP x materia x indici'!M15)/('Tav. 1.2 GdP x materia x indici'!K15+'Tav. 1.2 GdP x materia x indici'!L15)," ")</f>
        <v>0.8666666666666667</v>
      </c>
      <c r="N15" s="147" t="str">
        <f>IF('Tav. 1.2 GdP x materia x indici'!N15&gt;0,('Tav. 1.2 GdP x materia x indici'!Q15-'Tav. 1.2 GdP x materia x indici'!N15)/'Tav. 1.2 GdP x materia x indici'!N15," ")</f>
        <v> </v>
      </c>
      <c r="O15" s="147" t="str">
        <f>IF('Tav. 1.2 GdP x materia x indici'!O15&gt;0,'Tav. 1.2 GdP x materia x indici'!P15/'Tav. 1.2 GdP x materia x indici'!O15," ")</f>
        <v> </v>
      </c>
      <c r="P15" s="147" t="str">
        <f>IF(('Tav. 1.2 GdP x materia x indici'!N15+'Tav. 1.2 GdP x materia x indici'!O15)&gt;0,'Tav. 1.2 GdP x materia x indici'!P15/('Tav. 1.2 GdP x materia x indici'!N15+'Tav. 1.2 GdP x materia x indici'!O15)," ")</f>
        <v> </v>
      </c>
      <c r="Q15" s="148" t="str">
        <f>IF(('Tav. 1.2 GdP x materia x indici'!O15+'Tav. 1.2 GdP x materia x indici'!P15)&gt;0,('Tav. 1.2 GdP x materia x indici'!N15+'Tav. 1.2 GdP x materia x indici'!Q15)/('Tav. 1.2 GdP x materia x indici'!O15+'Tav. 1.2 GdP x materia x indici'!P15)," ")</f>
        <v> </v>
      </c>
    </row>
    <row r="16" spans="1:17" s="18" customFormat="1" ht="15" customHeight="1">
      <c r="A16" s="42" t="s">
        <v>173</v>
      </c>
      <c r="B16" s="147">
        <f>IF('Tav. 1.2 GdP x materia x indici'!B16&gt;0,('Tav. 1.2 GdP x materia x indici'!E16-'Tav. 1.2 GdP x materia x indici'!B16)/'Tav. 1.2 GdP x materia x indici'!B16," ")</f>
        <v>-0.5</v>
      </c>
      <c r="C16" s="147">
        <f>IF('Tav. 1.2 GdP x materia x indici'!C16&gt;0,'Tav. 1.2 GdP x materia x indici'!D16/'Tav. 1.2 GdP x materia x indici'!C16," ")</f>
        <v>1.2592592592592593</v>
      </c>
      <c r="D16" s="147">
        <f>IF(('Tav. 1.2 GdP x materia x indici'!B16+'Tav. 1.2 GdP x materia x indici'!C16)&gt;0,'Tav. 1.2 GdP x materia x indici'!D16/('Tav. 1.2 GdP x materia x indici'!B16+'Tav. 1.2 GdP x materia x indici'!C16)," ")</f>
        <v>0.8292682926829268</v>
      </c>
      <c r="E16" s="148">
        <f>IF(('Tav. 1.2 GdP x materia x indici'!C16+'Tav. 1.2 GdP x materia x indici'!D16)&gt;0,('Tav. 1.2 GdP x materia x indici'!B16+'Tav. 1.2 GdP x materia x indici'!E16)/('Tav. 1.2 GdP x materia x indici'!C16+'Tav. 1.2 GdP x materia x indici'!D16)," ")</f>
        <v>0.3442622950819672</v>
      </c>
      <c r="F16" s="147">
        <f>IF('Tav. 1.2 GdP x materia x indici'!F16&gt;0,('Tav. 1.2 GdP x materia x indici'!I16-'Tav. 1.2 GdP x materia x indici'!F16)/'Tav. 1.2 GdP x materia x indici'!F16," ")</f>
        <v>-0.2571428571428571</v>
      </c>
      <c r="G16" s="147">
        <f>IF('Tav. 1.2 GdP x materia x indici'!G16&gt;0,'Tav. 1.2 GdP x materia x indici'!H16/'Tav. 1.2 GdP x materia x indici'!G16," ")</f>
        <v>1.2571428571428571</v>
      </c>
      <c r="H16" s="147">
        <f>IF(('Tav. 1.2 GdP x materia x indici'!F16+'Tav. 1.2 GdP x materia x indici'!G16)&gt;0,'Tav. 1.2 GdP x materia x indici'!H16/('Tav. 1.2 GdP x materia x indici'!F16+'Tav. 1.2 GdP x materia x indici'!G16)," ")</f>
        <v>0.6285714285714286</v>
      </c>
      <c r="I16" s="148">
        <f>IF(('Tav. 1.2 GdP x materia x indici'!G16+'Tav. 1.2 GdP x materia x indici'!H16)&gt;0,('Tav. 1.2 GdP x materia x indici'!F16+'Tav. 1.2 GdP x materia x indici'!I16)/('Tav. 1.2 GdP x materia x indici'!G16+'Tav. 1.2 GdP x materia x indici'!H16)," ")</f>
        <v>0.7721518987341772</v>
      </c>
      <c r="J16" s="147">
        <f>IF('Tav. 1.2 GdP x materia x indici'!J16&gt;0,('Tav. 1.2 GdP x materia x indici'!M16-'Tav. 1.2 GdP x materia x indici'!J16)/'Tav. 1.2 GdP x materia x indici'!J16," ")</f>
        <v>-0.42016806722689076</v>
      </c>
      <c r="K16" s="147">
        <f>IF('Tav. 1.2 GdP x materia x indici'!K16&gt;0,'Tav. 1.2 GdP x materia x indici'!L16/'Tav. 1.2 GdP x materia x indici'!K16," ")</f>
        <v>1.8064516129032258</v>
      </c>
      <c r="L16" s="147">
        <f>IF(('Tav. 1.2 GdP x materia x indici'!J16+'Tav. 1.2 GdP x materia x indici'!K16)&gt;0,'Tav. 1.2 GdP x materia x indici'!L16/('Tav. 1.2 GdP x materia x indici'!J16+'Tav. 1.2 GdP x materia x indici'!K16)," ")</f>
        <v>0.6187845303867403</v>
      </c>
      <c r="M16" s="148">
        <f>IF(('Tav. 1.2 GdP x materia x indici'!K16+'Tav. 1.2 GdP x materia x indici'!L16)&gt;0,('Tav. 1.2 GdP x materia x indici'!J16+'Tav. 1.2 GdP x materia x indici'!M16)/('Tav. 1.2 GdP x materia x indici'!K16+'Tav. 1.2 GdP x materia x indici'!L16)," ")</f>
        <v>1.0804597701149425</v>
      </c>
      <c r="N16" s="147" t="str">
        <f>IF('Tav. 1.2 GdP x materia x indici'!N16&gt;0,('Tav. 1.2 GdP x materia x indici'!Q16-'Tav. 1.2 GdP x materia x indici'!N16)/'Tav. 1.2 GdP x materia x indici'!N16," ")</f>
        <v> </v>
      </c>
      <c r="O16" s="147" t="str">
        <f>IF('Tav. 1.2 GdP x materia x indici'!O16&gt;0,'Tav. 1.2 GdP x materia x indici'!P16/'Tav. 1.2 GdP x materia x indici'!O16," ")</f>
        <v> </v>
      </c>
      <c r="P16" s="147" t="str">
        <f>IF(('Tav. 1.2 GdP x materia x indici'!N16+'Tav. 1.2 GdP x materia x indici'!O16)&gt;0,'Tav. 1.2 GdP x materia x indici'!P16/('Tav. 1.2 GdP x materia x indici'!N16+'Tav. 1.2 GdP x materia x indici'!O16)," ")</f>
        <v> </v>
      </c>
      <c r="Q16" s="148" t="str">
        <f>IF(('Tav. 1.2 GdP x materia x indici'!O16+'Tav. 1.2 GdP x materia x indici'!P16)&gt;0,('Tav. 1.2 GdP x materia x indici'!N16+'Tav. 1.2 GdP x materia x indici'!Q16)/('Tav. 1.2 GdP x materia x indici'!O16+'Tav. 1.2 GdP x materia x indici'!P16)," ")</f>
        <v> </v>
      </c>
    </row>
    <row r="17" spans="1:17" s="18" customFormat="1" ht="15" customHeight="1">
      <c r="A17" s="42" t="s">
        <v>168</v>
      </c>
      <c r="B17" s="147">
        <f>IF('Tav. 1.2 GdP x materia x indici'!B17&gt;0,('Tav. 1.2 GdP x materia x indici'!E17-'Tav. 1.2 GdP x materia x indici'!B17)/'Tav. 1.2 GdP x materia x indici'!B17," ")</f>
        <v>-0.19416243654822335</v>
      </c>
      <c r="C17" s="147">
        <f>IF('Tav. 1.2 GdP x materia x indici'!C17&gt;0,'Tav. 1.2 GdP x materia x indici'!D17/'Tav. 1.2 GdP x materia x indici'!C17," ")</f>
        <v>1.1080508474576272</v>
      </c>
      <c r="D17" s="147">
        <f>IF(('Tav. 1.2 GdP x materia x indici'!B17+'Tav. 1.2 GdP x materia x indici'!C17)&gt;0,'Tav. 1.2 GdP x materia x indici'!D17/('Tav. 1.2 GdP x materia x indici'!B17+'Tav. 1.2 GdP x materia x indici'!C17)," ")</f>
        <v>0.7118874773139746</v>
      </c>
      <c r="E17" s="148">
        <f>IF(('Tav. 1.2 GdP x materia x indici'!C17+'Tav. 1.2 GdP x materia x indici'!D17)&gt;0,('Tav. 1.2 GdP x materia x indici'!B17+'Tav. 1.2 GdP x materia x indici'!E17)/('Tav. 1.2 GdP x materia x indici'!C17+'Tav. 1.2 GdP x materia x indici'!D17)," ")</f>
        <v>0.47671691792294807</v>
      </c>
      <c r="F17" s="147">
        <f>IF('Tav. 1.2 GdP x materia x indici'!F17&gt;0,('Tav. 1.2 GdP x materia x indici'!I17-'Tav. 1.2 GdP x materia x indici'!F17)/'Tav. 1.2 GdP x materia x indici'!F17," ")</f>
        <v>-0.1366906474820144</v>
      </c>
      <c r="G17" s="147">
        <f>IF('Tav. 1.2 GdP x materia x indici'!G17&gt;0,'Tav. 1.2 GdP x materia x indici'!H17/'Tav. 1.2 GdP x materia x indici'!G17," ")</f>
        <v>1.1092581943645774</v>
      </c>
      <c r="H17" s="147">
        <f>IF(('Tav. 1.2 GdP x materia x indici'!F17+'Tav. 1.2 GdP x materia x indici'!G17)&gt;0,'Tav. 1.2 GdP x materia x indici'!H17/('Tav. 1.2 GdP x materia x indici'!F17+'Tav. 1.2 GdP x materia x indici'!G17)," ")</f>
        <v>0.6164908916586769</v>
      </c>
      <c r="I17" s="148">
        <f>IF(('Tav. 1.2 GdP x materia x indici'!G17+'Tav. 1.2 GdP x materia x indici'!H17)&gt;0,('Tav. 1.2 GdP x materia x indici'!F17+'Tav. 1.2 GdP x materia x indici'!I17)/('Tav. 1.2 GdP x materia x indici'!G17+'Tav. 1.2 GdP x materia x indici'!H17)," ")</f>
        <v>0.7061068702290076</v>
      </c>
      <c r="J17" s="147">
        <f>IF('Tav. 1.2 GdP x materia x indici'!J17&gt;0,('Tav. 1.2 GdP x materia x indici'!M17-'Tav. 1.2 GdP x materia x indici'!J17)/'Tav. 1.2 GdP x materia x indici'!J17," ")</f>
        <v>-0.16482359136387573</v>
      </c>
      <c r="K17" s="147">
        <f>IF('Tav. 1.2 GdP x materia x indici'!K17&gt;0,'Tav. 1.2 GdP x materia x indici'!L17/'Tav. 1.2 GdP x materia x indici'!K17," ")</f>
        <v>1.2672929120409906</v>
      </c>
      <c r="L17" s="147">
        <f>IF(('Tav. 1.2 GdP x materia x indici'!J17+'Tav. 1.2 GdP x materia x indici'!K17)&gt;0,'Tav. 1.2 GdP x materia x indici'!L17/('Tav. 1.2 GdP x materia x indici'!J17+'Tav. 1.2 GdP x materia x indici'!K17)," ")</f>
        <v>0.48338762214983716</v>
      </c>
      <c r="M17" s="148">
        <f>IF(('Tav. 1.2 GdP x materia x indici'!K17+'Tav. 1.2 GdP x materia x indici'!L17)&gt;0,('Tav. 1.2 GdP x materia x indici'!J17+'Tav. 1.2 GdP x materia x indici'!M17)/('Tav. 1.2 GdP x materia x indici'!K17+'Tav. 1.2 GdP x materia x indici'!L17)," ")</f>
        <v>1.3126177024482109</v>
      </c>
      <c r="N17" s="147">
        <f>IF('Tav. 1.2 GdP x materia x indici'!N17&gt;0,('Tav. 1.2 GdP x materia x indici'!Q17-'Tav. 1.2 GdP x materia x indici'!N17)/'Tav. 1.2 GdP x materia x indici'!N17," ")</f>
        <v>0.18181818181818182</v>
      </c>
      <c r="O17" s="147">
        <f>IF('Tav. 1.2 GdP x materia x indici'!O17&gt;0,'Tav. 1.2 GdP x materia x indici'!P17/'Tav. 1.2 GdP x materia x indici'!O17," ")</f>
        <v>0.9555555555555556</v>
      </c>
      <c r="P17" s="147">
        <f>IF(('Tav. 1.2 GdP x materia x indici'!N17+'Tav. 1.2 GdP x materia x indici'!O17)&gt;0,'Tav. 1.2 GdP x materia x indici'!P17/('Tav. 1.2 GdP x materia x indici'!N17+'Tav. 1.2 GdP x materia x indici'!O17)," ")</f>
        <v>0.7678571428571429</v>
      </c>
      <c r="Q17" s="148">
        <f>IF(('Tav. 1.2 GdP x materia x indici'!O17+'Tav. 1.2 GdP x materia x indici'!P17)&gt;0,('Tav. 1.2 GdP x materia x indici'!N17+'Tav. 1.2 GdP x materia x indici'!Q17)/('Tav. 1.2 GdP x materia x indici'!O17+'Tav. 1.2 GdP x materia x indici'!P17)," ")</f>
        <v>0.2727272727272727</v>
      </c>
    </row>
    <row r="18" spans="1:17" s="347" customFormat="1" ht="15" customHeight="1">
      <c r="A18" s="690" t="s">
        <v>174</v>
      </c>
      <c r="B18" s="345" t="str">
        <f>IF('Tav. 1.2 GdP x materia x indici'!B18&gt;0,('Tav. 1.2 GdP x materia x indici'!E18-'Tav. 1.2 GdP x materia x indici'!B18)/'Tav. 1.2 GdP x materia x indici'!B18," ")</f>
        <v> </v>
      </c>
      <c r="C18" s="345" t="str">
        <f>IF('Tav. 1.2 GdP x materia x indici'!C18&gt;0,'Tav. 1.2 GdP x materia x indici'!D18/'Tav. 1.2 GdP x materia x indici'!C18," ")</f>
        <v> </v>
      </c>
      <c r="D18" s="345" t="str">
        <f>IF(('Tav. 1.2 GdP x materia x indici'!B18+'Tav. 1.2 GdP x materia x indici'!C18)&gt;0,'Tav. 1.2 GdP x materia x indici'!D18/('Tav. 1.2 GdP x materia x indici'!B18+'Tav. 1.2 GdP x materia x indici'!C18)," ")</f>
        <v> </v>
      </c>
      <c r="E18" s="346" t="str">
        <f>IF(('Tav. 1.2 GdP x materia x indici'!C18+'Tav. 1.2 GdP x materia x indici'!D18)&gt;0,('Tav. 1.2 GdP x materia x indici'!B18+'Tav. 1.2 GdP x materia x indici'!E18)/('Tav. 1.2 GdP x materia x indici'!C18+'Tav. 1.2 GdP x materia x indici'!D18)," ")</f>
        <v> </v>
      </c>
      <c r="F18" s="345" t="str">
        <f>IF('Tav. 1.2 GdP x materia x indici'!F18&gt;0,('Tav. 1.2 GdP x materia x indici'!I18-'Tav. 1.2 GdP x materia x indici'!F18)/'Tav. 1.2 GdP x materia x indici'!F18," ")</f>
        <v> </v>
      </c>
      <c r="G18" s="345" t="str">
        <f>IF('Tav. 1.2 GdP x materia x indici'!G18&gt;0,'Tav. 1.2 GdP x materia x indici'!H18/'Tav. 1.2 GdP x materia x indici'!G18," ")</f>
        <v> </v>
      </c>
      <c r="H18" s="345" t="str">
        <f>IF(('Tav. 1.2 GdP x materia x indici'!F18+'Tav. 1.2 GdP x materia x indici'!G18)&gt;0,'Tav. 1.2 GdP x materia x indici'!H18/('Tav. 1.2 GdP x materia x indici'!F18+'Tav. 1.2 GdP x materia x indici'!G18)," ")</f>
        <v> </v>
      </c>
      <c r="I18" s="346" t="str">
        <f>IF(('Tav. 1.2 GdP x materia x indici'!G18+'Tav. 1.2 GdP x materia x indici'!H18)&gt;0,('Tav. 1.2 GdP x materia x indici'!F18+'Tav. 1.2 GdP x materia x indici'!I18)/('Tav. 1.2 GdP x materia x indici'!G18+'Tav. 1.2 GdP x materia x indici'!H18)," ")</f>
        <v> </v>
      </c>
      <c r="J18" s="345" t="str">
        <f>IF('Tav. 1.2 GdP x materia x indici'!J18&gt;0,('Tav. 1.2 GdP x materia x indici'!M18-'Tav. 1.2 GdP x materia x indici'!J18)/'Tav. 1.2 GdP x materia x indici'!J18," ")</f>
        <v> </v>
      </c>
      <c r="K18" s="345" t="str">
        <f>IF('Tav. 1.2 GdP x materia x indici'!K18&gt;0,'Tav. 1.2 GdP x materia x indici'!L18/'Tav. 1.2 GdP x materia x indici'!K18," ")</f>
        <v> </v>
      </c>
      <c r="L18" s="345" t="str">
        <f>IF(('Tav. 1.2 GdP x materia x indici'!J18+'Tav. 1.2 GdP x materia x indici'!K18)&gt;0,'Tav. 1.2 GdP x materia x indici'!L18/('Tav. 1.2 GdP x materia x indici'!J18+'Tav. 1.2 GdP x materia x indici'!K18)," ")</f>
        <v> </v>
      </c>
      <c r="M18" s="346" t="str">
        <f>IF(('Tav. 1.2 GdP x materia x indici'!K18+'Tav. 1.2 GdP x materia x indici'!L18)&gt;0,('Tav. 1.2 GdP x materia x indici'!J18+'Tav. 1.2 GdP x materia x indici'!M18)/('Tav. 1.2 GdP x materia x indici'!K18+'Tav. 1.2 GdP x materia x indici'!L18)," ")</f>
        <v> </v>
      </c>
      <c r="N18" s="345" t="str">
        <f>IF('Tav. 1.2 GdP x materia x indici'!N18&gt;0,('Tav. 1.2 GdP x materia x indici'!Q18-'Tav. 1.2 GdP x materia x indici'!N18)/'Tav. 1.2 GdP x materia x indici'!N18," ")</f>
        <v> </v>
      </c>
      <c r="O18" s="345" t="str">
        <f>IF('Tav. 1.2 GdP x materia x indici'!O18&gt;0,'Tav. 1.2 GdP x materia x indici'!P18/'Tav. 1.2 GdP x materia x indici'!O18," ")</f>
        <v> </v>
      </c>
      <c r="P18" s="345" t="str">
        <f>IF(('Tav. 1.2 GdP x materia x indici'!N18+'Tav. 1.2 GdP x materia x indici'!O18)&gt;0,'Tav. 1.2 GdP x materia x indici'!P18/('Tav. 1.2 GdP x materia x indici'!N18+'Tav. 1.2 GdP x materia x indici'!O18)," ")</f>
        <v> </v>
      </c>
      <c r="Q18" s="346" t="str">
        <f>IF(('Tav. 1.2 GdP x materia x indici'!O18+'Tav. 1.2 GdP x materia x indici'!P18)&gt;0,('Tav. 1.2 GdP x materia x indici'!N18+'Tav. 1.2 GdP x materia x indici'!Q18)/('Tav. 1.2 GdP x materia x indici'!O18+'Tav. 1.2 GdP x materia x indici'!P18)," ")</f>
        <v> </v>
      </c>
    </row>
    <row r="19" spans="1:17" s="18" customFormat="1" ht="15" customHeight="1">
      <c r="A19" s="42" t="s">
        <v>175</v>
      </c>
      <c r="B19" s="147">
        <f>IF('Tav. 1.2 GdP x materia x indici'!B19&gt;0,('Tav. 1.2 GdP x materia x indici'!E19-'Tav. 1.2 GdP x materia x indici'!B19)/'Tav. 1.2 GdP x materia x indici'!B19," ")</f>
        <v>0.14285714285714285</v>
      </c>
      <c r="C19" s="147">
        <f>IF('Tav. 1.2 GdP x materia x indici'!C19&gt;0,'Tav. 1.2 GdP x materia x indici'!D19/'Tav. 1.2 GdP x materia x indici'!C19," ")</f>
        <v>0.9032258064516129</v>
      </c>
      <c r="D19" s="147">
        <f>IF(('Tav. 1.2 GdP x materia x indici'!B19+'Tav. 1.2 GdP x materia x indici'!C19)&gt;0,'Tav. 1.2 GdP x materia x indici'!D19/('Tav. 1.2 GdP x materia x indici'!B19+'Tav. 1.2 GdP x materia x indici'!C19)," ")</f>
        <v>0.5384615384615384</v>
      </c>
      <c r="E19" s="148">
        <f>IF(('Tav. 1.2 GdP x materia x indici'!C19+'Tav. 1.2 GdP x materia x indici'!D19)&gt;0,('Tav. 1.2 GdP x materia x indici'!B19+'Tav. 1.2 GdP x materia x indici'!E19)/('Tav. 1.2 GdP x materia x indici'!C19+'Tav. 1.2 GdP x materia x indici'!D19)," ")</f>
        <v>0.7627118644067796</v>
      </c>
      <c r="F19" s="147">
        <f>IF('Tav. 1.2 GdP x materia x indici'!F19&gt;0,('Tav. 1.2 GdP x materia x indici'!I19-'Tav. 1.2 GdP x materia x indici'!F19)/'Tav. 1.2 GdP x materia x indici'!F19," ")</f>
        <v>0.25</v>
      </c>
      <c r="G19" s="147">
        <f>IF('Tav. 1.2 GdP x materia x indici'!G19&gt;0,'Tav. 1.2 GdP x materia x indici'!H19/'Tav. 1.2 GdP x materia x indici'!G19," ")</f>
        <v>0.8</v>
      </c>
      <c r="H19" s="147">
        <f>IF(('Tav. 1.2 GdP x materia x indici'!F19+'Tav. 1.2 GdP x materia x indici'!G19)&gt;0,'Tav. 1.2 GdP x materia x indici'!H19/('Tav. 1.2 GdP x materia x indici'!F19+'Tav. 1.2 GdP x materia x indici'!G19)," ")</f>
        <v>0.4444444444444444</v>
      </c>
      <c r="I19" s="148">
        <f>IF(('Tav. 1.2 GdP x materia x indici'!G19+'Tav. 1.2 GdP x materia x indici'!H19)&gt;0,('Tav. 1.2 GdP x materia x indici'!F19+'Tav. 1.2 GdP x materia x indici'!I19)/('Tav. 1.2 GdP x materia x indici'!G19+'Tav. 1.2 GdP x materia x indici'!H19)," ")</f>
        <v>1</v>
      </c>
      <c r="J19" s="147">
        <f>IF('Tav. 1.2 GdP x materia x indici'!J19&gt;0,('Tav. 1.2 GdP x materia x indici'!M19-'Tav. 1.2 GdP x materia x indici'!J19)/'Tav. 1.2 GdP x materia x indici'!J19," ")</f>
        <v>0.10714285714285714</v>
      </c>
      <c r="K19" s="147">
        <f>IF('Tav. 1.2 GdP x materia x indici'!K19&gt;0,'Tav. 1.2 GdP x materia x indici'!L19/'Tav. 1.2 GdP x materia x indici'!K19," ")</f>
        <v>0.8928571428571429</v>
      </c>
      <c r="L19" s="147">
        <f>IF(('Tav. 1.2 GdP x materia x indici'!J19+'Tav. 1.2 GdP x materia x indici'!K19)&gt;0,'Tav. 1.2 GdP x materia x indici'!L19/('Tav. 1.2 GdP x materia x indici'!J19+'Tav. 1.2 GdP x materia x indici'!K19)," ")</f>
        <v>0.44642857142857145</v>
      </c>
      <c r="M19" s="148">
        <f>IF(('Tav. 1.2 GdP x materia x indici'!K19+'Tav. 1.2 GdP x materia x indici'!L19)&gt;0,('Tav. 1.2 GdP x materia x indici'!J19+'Tav. 1.2 GdP x materia x indici'!M19)/('Tav. 1.2 GdP x materia x indici'!K19+'Tav. 1.2 GdP x materia x indici'!L19)," ")</f>
        <v>1.1132075471698113</v>
      </c>
      <c r="N19" s="147" t="str">
        <f>IF('Tav. 1.2 GdP x materia x indici'!N19&gt;0,('Tav. 1.2 GdP x materia x indici'!Q19-'Tav. 1.2 GdP x materia x indici'!N19)/'Tav. 1.2 GdP x materia x indici'!N19," ")</f>
        <v> </v>
      </c>
      <c r="O19" s="147" t="str">
        <f>IF('Tav. 1.2 GdP x materia x indici'!O19&gt;0,'Tav. 1.2 GdP x materia x indici'!P19/'Tav. 1.2 GdP x materia x indici'!O19," ")</f>
        <v> </v>
      </c>
      <c r="P19" s="147" t="str">
        <f>IF(('Tav. 1.2 GdP x materia x indici'!N19+'Tav. 1.2 GdP x materia x indici'!O19)&gt;0,'Tav. 1.2 GdP x materia x indici'!P19/('Tav. 1.2 GdP x materia x indici'!N19+'Tav. 1.2 GdP x materia x indici'!O19)," ")</f>
        <v> </v>
      </c>
      <c r="Q19" s="148" t="str">
        <f>IF(('Tav. 1.2 GdP x materia x indici'!O19+'Tav. 1.2 GdP x materia x indici'!P19)&gt;0,('Tav. 1.2 GdP x materia x indici'!N19+'Tav. 1.2 GdP x materia x indici'!Q19)/('Tav. 1.2 GdP x materia x indici'!O19+'Tav. 1.2 GdP x materia x indici'!P19)," ")</f>
        <v> </v>
      </c>
    </row>
    <row r="20" spans="1:17" s="18" customFormat="1" ht="15" customHeight="1">
      <c r="A20" s="42" t="s">
        <v>176</v>
      </c>
      <c r="B20" s="147">
        <f>IF('Tav. 1.2 GdP x materia x indici'!B20&gt;0,('Tav. 1.2 GdP x materia x indici'!E20-'Tav. 1.2 GdP x materia x indici'!B20)/'Tav. 1.2 GdP x materia x indici'!B20," ")</f>
        <v>-0.7341772151898734</v>
      </c>
      <c r="C20" s="147">
        <f>IF('Tav. 1.2 GdP x materia x indici'!C20&gt;0,'Tav. 1.2 GdP x materia x indici'!D20/'Tav. 1.2 GdP x materia x indici'!C20," ")</f>
        <v>1.4427480916030535</v>
      </c>
      <c r="D20" s="147">
        <f>IF(('Tav. 1.2 GdP x materia x indici'!B20+'Tav. 1.2 GdP x materia x indici'!C20)&gt;0,'Tav. 1.2 GdP x materia x indici'!D20/('Tav. 1.2 GdP x materia x indici'!B20+'Tav. 1.2 GdP x materia x indici'!C20)," ")</f>
        <v>0.9</v>
      </c>
      <c r="E20" s="148">
        <f>IF(('Tav. 1.2 GdP x materia x indici'!C20+'Tav. 1.2 GdP x materia x indici'!D20)&gt;0,('Tav. 1.2 GdP x materia x indici'!B20+'Tav. 1.2 GdP x materia x indici'!E20)/('Tav. 1.2 GdP x materia x indici'!C20+'Tav. 1.2 GdP x materia x indici'!D20)," ")</f>
        <v>0.3125</v>
      </c>
      <c r="F20" s="147">
        <f>IF('Tav. 1.2 GdP x materia x indici'!F20&gt;0,('Tav. 1.2 GdP x materia x indici'!I20-'Tav. 1.2 GdP x materia x indici'!F20)/'Tav. 1.2 GdP x materia x indici'!F20," ")</f>
        <v>-0.25757575757575757</v>
      </c>
      <c r="G20" s="147">
        <f>IF('Tav. 1.2 GdP x materia x indici'!G20&gt;0,'Tav. 1.2 GdP x materia x indici'!H20/'Tav. 1.2 GdP x materia x indici'!G20," ")</f>
        <v>1.0470914127423823</v>
      </c>
      <c r="H20" s="147">
        <f>IF(('Tav. 1.2 GdP x materia x indici'!F20+'Tav. 1.2 GdP x materia x indici'!G20)&gt;0,'Tav. 1.2 GdP x materia x indici'!H20/('Tav. 1.2 GdP x materia x indici'!F20+'Tav. 1.2 GdP x materia x indici'!G20)," ")</f>
        <v>0.8852459016393442</v>
      </c>
      <c r="I20" s="148">
        <f>IF(('Tav. 1.2 GdP x materia x indici'!G20+'Tav. 1.2 GdP x materia x indici'!H20)&gt;0,('Tav. 1.2 GdP x materia x indici'!F20+'Tav. 1.2 GdP x materia x indici'!I20)/('Tav. 1.2 GdP x materia x indici'!G20+'Tav. 1.2 GdP x materia x indici'!H20)," ")</f>
        <v>0.15561569688768606</v>
      </c>
      <c r="J20" s="147">
        <f>IF('Tav. 1.2 GdP x materia x indici'!J20&gt;0,('Tav. 1.2 GdP x materia x indici'!M20-'Tav. 1.2 GdP x materia x indici'!J20)/'Tav. 1.2 GdP x materia x indici'!J20," ")</f>
        <v>0.004158004158004158</v>
      </c>
      <c r="K20" s="147">
        <f>IF('Tav. 1.2 GdP x materia x indici'!K20&gt;0,'Tav. 1.2 GdP x materia x indici'!L20/'Tav. 1.2 GdP x materia x indici'!K20," ")</f>
        <v>0.9922480620155039</v>
      </c>
      <c r="L20" s="147">
        <f>IF(('Tav. 1.2 GdP x materia x indici'!J20+'Tav. 1.2 GdP x materia x indici'!K20)&gt;0,'Tav. 1.2 GdP x materia x indici'!L20/('Tav. 1.2 GdP x materia x indici'!J20+'Tav. 1.2 GdP x materia x indici'!K20)," ")</f>
        <v>0.34641407307171856</v>
      </c>
      <c r="M20" s="148">
        <f>IF(('Tav. 1.2 GdP x materia x indici'!K20+'Tav. 1.2 GdP x materia x indici'!L20)&gt;0,('Tav. 1.2 GdP x materia x indici'!J20+'Tav. 1.2 GdP x materia x indici'!M20)/('Tav. 1.2 GdP x materia x indici'!K20+'Tav. 1.2 GdP x materia x indici'!L20)," ")</f>
        <v>1.8754863813229572</v>
      </c>
      <c r="N20" s="147" t="str">
        <f>IF('Tav. 1.2 GdP x materia x indici'!N20&gt;0,('Tav. 1.2 GdP x materia x indici'!Q20-'Tav. 1.2 GdP x materia x indici'!N20)/'Tav. 1.2 GdP x materia x indici'!N20," ")</f>
        <v> </v>
      </c>
      <c r="O20" s="147" t="str">
        <f>IF('Tav. 1.2 GdP x materia x indici'!O20&gt;0,'Tav. 1.2 GdP x materia x indici'!P20/'Tav. 1.2 GdP x materia x indici'!O20," ")</f>
        <v> </v>
      </c>
      <c r="P20" s="147" t="str">
        <f>IF(('Tav. 1.2 GdP x materia x indici'!N20+'Tav. 1.2 GdP x materia x indici'!O20)&gt;0,'Tav. 1.2 GdP x materia x indici'!P20/('Tav. 1.2 GdP x materia x indici'!N20+'Tav. 1.2 GdP x materia x indici'!O20)," ")</f>
        <v> </v>
      </c>
      <c r="Q20" s="148" t="str">
        <f>IF(('Tav. 1.2 GdP x materia x indici'!O20+'Tav. 1.2 GdP x materia x indici'!P20)&gt;0,('Tav. 1.2 GdP x materia x indici'!N20+'Tav. 1.2 GdP x materia x indici'!Q20)/('Tav. 1.2 GdP x materia x indici'!O20+'Tav. 1.2 GdP x materia x indici'!P20)," ")</f>
        <v> </v>
      </c>
    </row>
    <row r="21" spans="1:17" s="18" customFormat="1" ht="15" customHeight="1">
      <c r="A21" s="42" t="s">
        <v>177</v>
      </c>
      <c r="B21" s="147">
        <f>IF('Tav. 1.2 GdP x materia x indici'!B21&gt;0,('Tav. 1.2 GdP x materia x indici'!E21-'Tav. 1.2 GdP x materia x indici'!B21)/'Tav. 1.2 GdP x materia x indici'!B21," ")</f>
        <v>-0.10588235294117647</v>
      </c>
      <c r="C21" s="147">
        <f>IF('Tav. 1.2 GdP x materia x indici'!C21&gt;0,'Tav. 1.2 GdP x materia x indici'!D21/'Tav. 1.2 GdP x materia x indici'!C21," ")</f>
        <v>1.1285714285714286</v>
      </c>
      <c r="D21" s="147">
        <f>IF(('Tav. 1.2 GdP x materia x indici'!B21+'Tav. 1.2 GdP x materia x indici'!C21)&gt;0,'Tav. 1.2 GdP x materia x indici'!D21/('Tav. 1.2 GdP x materia x indici'!B21+'Tav. 1.2 GdP x materia x indici'!C21)," ")</f>
        <v>0.5096774193548387</v>
      </c>
      <c r="E21" s="148">
        <f>IF(('Tav. 1.2 GdP x materia x indici'!C21+'Tav. 1.2 GdP x materia x indici'!D21)&gt;0,('Tav. 1.2 GdP x materia x indici'!B21+'Tav. 1.2 GdP x materia x indici'!E21)/('Tav. 1.2 GdP x materia x indici'!C21+'Tav. 1.2 GdP x materia x indici'!D21)," ")</f>
        <v>1.080536912751678</v>
      </c>
      <c r="F21" s="147" t="str">
        <f>IF('Tav. 1.2 GdP x materia x indici'!F21&gt;0,('Tav. 1.2 GdP x materia x indici'!I21-'Tav. 1.2 GdP x materia x indici'!F21)/'Tav. 1.2 GdP x materia x indici'!F21," ")</f>
        <v> </v>
      </c>
      <c r="G21" s="147" t="str">
        <f>IF('Tav. 1.2 GdP x materia x indici'!G21&gt;0,'Tav. 1.2 GdP x materia x indici'!H21/'Tav. 1.2 GdP x materia x indici'!G21," ")</f>
        <v> </v>
      </c>
      <c r="H21" s="147" t="str">
        <f>IF(('Tav. 1.2 GdP x materia x indici'!F21+'Tav. 1.2 GdP x materia x indici'!G21)&gt;0,'Tav. 1.2 GdP x materia x indici'!H21/('Tav. 1.2 GdP x materia x indici'!F21+'Tav. 1.2 GdP x materia x indici'!G21)," ")</f>
        <v> </v>
      </c>
      <c r="I21" s="148" t="str">
        <f>IF(('Tav. 1.2 GdP x materia x indici'!G21+'Tav. 1.2 GdP x materia x indici'!H21)&gt;0,('Tav. 1.2 GdP x materia x indici'!F21+'Tav. 1.2 GdP x materia x indici'!I21)/('Tav. 1.2 GdP x materia x indici'!G21+'Tav. 1.2 GdP x materia x indici'!H21)," ")</f>
        <v> </v>
      </c>
      <c r="J21" s="147">
        <f>IF('Tav. 1.2 GdP x materia x indici'!J21&gt;0,('Tav. 1.2 GdP x materia x indici'!M21-'Tav. 1.2 GdP x materia x indici'!J21)/'Tav. 1.2 GdP x materia x indici'!J21," ")</f>
        <v>-0.09274193548387097</v>
      </c>
      <c r="K21" s="147">
        <f>IF('Tav. 1.2 GdP x materia x indici'!K21&gt;0,'Tav. 1.2 GdP x materia x indici'!L21/'Tav. 1.2 GdP x materia x indici'!K21," ")</f>
        <v>1.420731707317073</v>
      </c>
      <c r="L21" s="147">
        <f>IF(('Tav. 1.2 GdP x materia x indici'!J21+'Tav. 1.2 GdP x materia x indici'!K21)&gt;0,'Tav. 1.2 GdP x materia x indici'!L21/('Tav. 1.2 GdP x materia x indici'!J21+'Tav. 1.2 GdP x materia x indici'!K21)," ")</f>
        <v>0.2566079295154185</v>
      </c>
      <c r="M21" s="148">
        <f>IF(('Tav. 1.2 GdP x materia x indici'!K21+'Tav. 1.2 GdP x materia x indici'!L21)&gt;0,('Tav. 1.2 GdP x materia x indici'!J21+'Tav. 1.2 GdP x materia x indici'!M21)/('Tav. 1.2 GdP x materia x indici'!K21+'Tav. 1.2 GdP x materia x indici'!L21)," ")</f>
        <v>3.5743073047858944</v>
      </c>
      <c r="N21" s="147" t="str">
        <f>IF('Tav. 1.2 GdP x materia x indici'!N21&gt;0,('Tav. 1.2 GdP x materia x indici'!Q21-'Tav. 1.2 GdP x materia x indici'!N21)/'Tav. 1.2 GdP x materia x indici'!N21," ")</f>
        <v> </v>
      </c>
      <c r="O21" s="147" t="str">
        <f>IF('Tav. 1.2 GdP x materia x indici'!O21&gt;0,'Tav. 1.2 GdP x materia x indici'!P21/'Tav. 1.2 GdP x materia x indici'!O21," ")</f>
        <v> </v>
      </c>
      <c r="P21" s="147" t="str">
        <f>IF(('Tav. 1.2 GdP x materia x indici'!N21+'Tav. 1.2 GdP x materia x indici'!O21)&gt;0,'Tav. 1.2 GdP x materia x indici'!P21/('Tav. 1.2 GdP x materia x indici'!N21+'Tav. 1.2 GdP x materia x indici'!O21)," ")</f>
        <v> </v>
      </c>
      <c r="Q21" s="148" t="str">
        <f>IF(('Tav. 1.2 GdP x materia x indici'!O21+'Tav. 1.2 GdP x materia x indici'!P21)&gt;0,('Tav. 1.2 GdP x materia x indici'!N21+'Tav. 1.2 GdP x materia x indici'!Q21)/('Tav. 1.2 GdP x materia x indici'!O21+'Tav. 1.2 GdP x materia x indici'!P21)," ")</f>
        <v> </v>
      </c>
    </row>
    <row r="22" spans="1:17" s="18" customFormat="1" ht="15" customHeight="1">
      <c r="A22" s="42" t="s">
        <v>178</v>
      </c>
      <c r="B22" s="147">
        <f>IF('Tav. 1.2 GdP x materia x indici'!B22&gt;0,('Tav. 1.2 GdP x materia x indici'!E22-'Tav. 1.2 GdP x materia x indici'!B22)/'Tav. 1.2 GdP x materia x indici'!B22," ")</f>
        <v>0</v>
      </c>
      <c r="C22" s="147">
        <f>IF('Tav. 1.2 GdP x materia x indici'!C22&gt;0,'Tav. 1.2 GdP x materia x indici'!D22/'Tav. 1.2 GdP x materia x indici'!C22," ")</f>
        <v>1</v>
      </c>
      <c r="D22" s="147">
        <f>IF(('Tav. 1.2 GdP x materia x indici'!B22+'Tav. 1.2 GdP x materia x indici'!C22)&gt;0,'Tav. 1.2 GdP x materia x indici'!D22/('Tav. 1.2 GdP x materia x indici'!B22+'Tav. 1.2 GdP x materia x indici'!C22)," ")</f>
        <v>0.7368421052631579</v>
      </c>
      <c r="E22" s="148">
        <f>IF(('Tav. 1.2 GdP x materia x indici'!C22+'Tav. 1.2 GdP x materia x indici'!D22)&gt;0,('Tav. 1.2 GdP x materia x indici'!B22+'Tav. 1.2 GdP x materia x indici'!E22)/('Tav. 1.2 GdP x materia x indici'!C22+'Tav. 1.2 GdP x materia x indici'!D22)," ")</f>
        <v>0.35714285714285715</v>
      </c>
      <c r="F22" s="147">
        <f>IF('Tav. 1.2 GdP x materia x indici'!F22&gt;0,('Tav. 1.2 GdP x materia x indici'!I22-'Tav. 1.2 GdP x materia x indici'!F22)/'Tav. 1.2 GdP x materia x indici'!F22," ")</f>
        <v>-0.625</v>
      </c>
      <c r="G22" s="147">
        <f>IF('Tav. 1.2 GdP x materia x indici'!G22&gt;0,'Tav. 1.2 GdP x materia x indici'!H22/'Tav. 1.2 GdP x materia x indici'!G22," ")</f>
        <v>1.3333333333333333</v>
      </c>
      <c r="H22" s="147">
        <f>IF(('Tav. 1.2 GdP x materia x indici'!F22+'Tav. 1.2 GdP x materia x indici'!G22)&gt;0,'Tav. 1.2 GdP x materia x indici'!H22/('Tav. 1.2 GdP x materia x indici'!F22+'Tav. 1.2 GdP x materia x indici'!G22)," ")</f>
        <v>0.8695652173913043</v>
      </c>
      <c r="I22" s="148">
        <f>IF(('Tav. 1.2 GdP x materia x indici'!G22+'Tav. 1.2 GdP x materia x indici'!H22)&gt;0,('Tav. 1.2 GdP x materia x indici'!F22+'Tav. 1.2 GdP x materia x indici'!I22)/('Tav. 1.2 GdP x materia x indici'!G22+'Tav. 1.2 GdP x materia x indici'!H22)," ")</f>
        <v>0.3142857142857143</v>
      </c>
      <c r="J22" s="147">
        <f>IF('Tav. 1.2 GdP x materia x indici'!J22&gt;0,('Tav. 1.2 GdP x materia x indici'!M22-'Tav. 1.2 GdP x materia x indici'!J22)/'Tav. 1.2 GdP x materia x indici'!J22," ")</f>
        <v>-0.32</v>
      </c>
      <c r="K22" s="147">
        <f>IF('Tav. 1.2 GdP x materia x indici'!K22&gt;0,'Tav. 1.2 GdP x materia x indici'!L22/'Tav. 1.2 GdP x materia x indici'!K22," ")</f>
        <v>1.380952380952381</v>
      </c>
      <c r="L22" s="147">
        <f>IF(('Tav. 1.2 GdP x materia x indici'!J22+'Tav. 1.2 GdP x materia x indici'!K22)&gt;0,'Tav. 1.2 GdP x materia x indici'!L22/('Tav. 1.2 GdP x materia x indici'!J22+'Tav. 1.2 GdP x materia x indici'!K22)," ")</f>
        <v>0.6304347826086957</v>
      </c>
      <c r="M22" s="148">
        <f>IF(('Tav. 1.2 GdP x materia x indici'!K22+'Tav. 1.2 GdP x materia x indici'!L22)&gt;0,('Tav. 1.2 GdP x materia x indici'!J22+'Tav. 1.2 GdP x materia x indici'!M22)/('Tav. 1.2 GdP x materia x indici'!K22+'Tav. 1.2 GdP x materia x indici'!L22)," ")</f>
        <v>0.84</v>
      </c>
      <c r="N22" s="147" t="str">
        <f>IF('Tav. 1.2 GdP x materia x indici'!N22&gt;0,('Tav. 1.2 GdP x materia x indici'!Q22-'Tav. 1.2 GdP x materia x indici'!N22)/'Tav. 1.2 GdP x materia x indici'!N22," ")</f>
        <v> </v>
      </c>
      <c r="O22" s="147" t="str">
        <f>IF('Tav. 1.2 GdP x materia x indici'!O22&gt;0,'Tav. 1.2 GdP x materia x indici'!P22/'Tav. 1.2 GdP x materia x indici'!O22," ")</f>
        <v> </v>
      </c>
      <c r="P22" s="147" t="str">
        <f>IF(('Tav. 1.2 GdP x materia x indici'!N22+'Tav. 1.2 GdP x materia x indici'!O22)&gt;0,'Tav. 1.2 GdP x materia x indici'!P22/('Tav. 1.2 GdP x materia x indici'!N22+'Tav. 1.2 GdP x materia x indici'!O22)," ")</f>
        <v> </v>
      </c>
      <c r="Q22" s="148" t="str">
        <f>IF(('Tav. 1.2 GdP x materia x indici'!O22+'Tav. 1.2 GdP x materia x indici'!P22)&gt;0,('Tav. 1.2 GdP x materia x indici'!N22+'Tav. 1.2 GdP x materia x indici'!Q22)/('Tav. 1.2 GdP x materia x indici'!O22+'Tav. 1.2 GdP x materia x indici'!P22)," ")</f>
        <v> </v>
      </c>
    </row>
    <row r="23" spans="1:17" s="18" customFormat="1" ht="15" customHeight="1">
      <c r="A23" s="42" t="s">
        <v>179</v>
      </c>
      <c r="B23" s="147">
        <f>IF('Tav. 1.2 GdP x materia x indici'!B23&gt;0,('Tav. 1.2 GdP x materia x indici'!E23-'Tav. 1.2 GdP x materia x indici'!B23)/'Tav. 1.2 GdP x materia x indici'!B23," ")</f>
        <v>0.3333333333333333</v>
      </c>
      <c r="C23" s="147">
        <f>IF('Tav. 1.2 GdP x materia x indici'!C23&gt;0,'Tav. 1.2 GdP x materia x indici'!D23/'Tav. 1.2 GdP x materia x indici'!C23," ")</f>
        <v>0.8888888888888888</v>
      </c>
      <c r="D23" s="147">
        <f>IF(('Tav. 1.2 GdP x materia x indici'!B23+'Tav. 1.2 GdP x materia x indici'!C23)&gt;0,'Tav. 1.2 GdP x materia x indici'!D23/('Tav. 1.2 GdP x materia x indici'!B23+'Tav. 1.2 GdP x materia x indici'!C23)," ")</f>
        <v>0.6666666666666666</v>
      </c>
      <c r="E23" s="148">
        <f>IF(('Tav. 1.2 GdP x materia x indici'!C23+'Tav. 1.2 GdP x materia x indici'!D23)&gt;0,('Tav. 1.2 GdP x materia x indici'!B23+'Tav. 1.2 GdP x materia x indici'!E23)/('Tav. 1.2 GdP x materia x indici'!C23+'Tav. 1.2 GdP x materia x indici'!D23)," ")</f>
        <v>0.4117647058823529</v>
      </c>
      <c r="F23" s="147">
        <f>IF('Tav. 1.2 GdP x materia x indici'!F23&gt;0,('Tav. 1.2 GdP x materia x indici'!I23-'Tav. 1.2 GdP x materia x indici'!F23)/'Tav. 1.2 GdP x materia x indici'!F23," ")</f>
        <v>-0.125</v>
      </c>
      <c r="G23" s="147">
        <f>IF('Tav. 1.2 GdP x materia x indici'!G23&gt;0,'Tav. 1.2 GdP x materia x indici'!H23/'Tav. 1.2 GdP x materia x indici'!G23," ")</f>
        <v>1.125</v>
      </c>
      <c r="H23" s="147">
        <f>IF(('Tav. 1.2 GdP x materia x indici'!F23+'Tav. 1.2 GdP x materia x indici'!G23)&gt;0,'Tav. 1.2 GdP x materia x indici'!H23/('Tav. 1.2 GdP x materia x indici'!F23+'Tav. 1.2 GdP x materia x indici'!G23)," ")</f>
        <v>0.5625</v>
      </c>
      <c r="I23" s="148">
        <f>IF(('Tav. 1.2 GdP x materia x indici'!G23+'Tav. 1.2 GdP x materia x indici'!H23)&gt;0,('Tav. 1.2 GdP x materia x indici'!F23+'Tav. 1.2 GdP x materia x indici'!I23)/('Tav. 1.2 GdP x materia x indici'!G23+'Tav. 1.2 GdP x materia x indici'!H23)," ")</f>
        <v>0.8823529411764706</v>
      </c>
      <c r="J23" s="147">
        <f>IF('Tav. 1.2 GdP x materia x indici'!J23&gt;0,('Tav. 1.2 GdP x materia x indici'!M23-'Tav. 1.2 GdP x materia x indici'!J23)/'Tav. 1.2 GdP x materia x indici'!J23," ")</f>
        <v>-0.1</v>
      </c>
      <c r="K23" s="147">
        <f>IF('Tav. 1.2 GdP x materia x indici'!K23&gt;0,'Tav. 1.2 GdP x materia x indici'!L23/'Tav. 1.2 GdP x materia x indici'!K23," ")</f>
        <v>1.1111111111111112</v>
      </c>
      <c r="L23" s="147">
        <f>IF(('Tav. 1.2 GdP x materia x indici'!J23+'Tav. 1.2 GdP x materia x indici'!K23)&gt;0,'Tav. 1.2 GdP x materia x indici'!L23/('Tav. 1.2 GdP x materia x indici'!J23+'Tav. 1.2 GdP x materia x indici'!K23)," ")</f>
        <v>0.5263157894736842</v>
      </c>
      <c r="M23" s="148">
        <f>IF(('Tav. 1.2 GdP x materia x indici'!K23+'Tav. 1.2 GdP x materia x indici'!L23)&gt;0,('Tav. 1.2 GdP x materia x indici'!J23+'Tav. 1.2 GdP x materia x indici'!M23)/('Tav. 1.2 GdP x materia x indici'!K23+'Tav. 1.2 GdP x materia x indici'!L23)," ")</f>
        <v>1</v>
      </c>
      <c r="N23" s="147" t="str">
        <f>IF('Tav. 1.2 GdP x materia x indici'!N23&gt;0,('Tav. 1.2 GdP x materia x indici'!Q23-'Tav. 1.2 GdP x materia x indici'!N23)/'Tav. 1.2 GdP x materia x indici'!N23," ")</f>
        <v> </v>
      </c>
      <c r="O23" s="147" t="str">
        <f>IF('Tav. 1.2 GdP x materia x indici'!O23&gt;0,'Tav. 1.2 GdP x materia x indici'!P23/'Tav. 1.2 GdP x materia x indici'!O23," ")</f>
        <v> </v>
      </c>
      <c r="P23" s="147" t="str">
        <f>IF(('Tav. 1.2 GdP x materia x indici'!N23+'Tav. 1.2 GdP x materia x indici'!O23)&gt;0,'Tav. 1.2 GdP x materia x indici'!P23/('Tav. 1.2 GdP x materia x indici'!N23+'Tav. 1.2 GdP x materia x indici'!O23)," ")</f>
        <v> </v>
      </c>
      <c r="Q23" s="148" t="str">
        <f>IF(('Tav. 1.2 GdP x materia x indici'!O23+'Tav. 1.2 GdP x materia x indici'!P23)&gt;0,('Tav. 1.2 GdP x materia x indici'!N23+'Tav. 1.2 GdP x materia x indici'!Q23)/('Tav. 1.2 GdP x materia x indici'!O23+'Tav. 1.2 GdP x materia x indici'!P23)," ")</f>
        <v> </v>
      </c>
    </row>
    <row r="24" spans="1:17" s="347" customFormat="1" ht="15" customHeight="1">
      <c r="A24" s="690" t="s">
        <v>180</v>
      </c>
      <c r="B24" s="345" t="str">
        <f>IF('Tav. 1.2 GdP x materia x indici'!B24&gt;0,('Tav. 1.2 GdP x materia x indici'!E24-'Tav. 1.2 GdP x materia x indici'!B24)/'Tav. 1.2 GdP x materia x indici'!B24," ")</f>
        <v> </v>
      </c>
      <c r="C24" s="345" t="str">
        <f>IF('Tav. 1.2 GdP x materia x indici'!C24&gt;0,'Tav. 1.2 GdP x materia x indici'!D24/'Tav. 1.2 GdP x materia x indici'!C24," ")</f>
        <v> </v>
      </c>
      <c r="D24" s="345" t="str">
        <f>IF(('Tav. 1.2 GdP x materia x indici'!B24+'Tav. 1.2 GdP x materia x indici'!C24)&gt;0,'Tav. 1.2 GdP x materia x indici'!D24/('Tav. 1.2 GdP x materia x indici'!B24+'Tav. 1.2 GdP x materia x indici'!C24)," ")</f>
        <v> </v>
      </c>
      <c r="E24" s="346" t="str">
        <f>IF(('Tav. 1.2 GdP x materia x indici'!C24+'Tav. 1.2 GdP x materia x indici'!D24)&gt;0,('Tav. 1.2 GdP x materia x indici'!B24+'Tav. 1.2 GdP x materia x indici'!E24)/('Tav. 1.2 GdP x materia x indici'!C24+'Tav. 1.2 GdP x materia x indici'!D24)," ")</f>
        <v> </v>
      </c>
      <c r="F24" s="345" t="str">
        <f>IF('Tav. 1.2 GdP x materia x indici'!F24&gt;0,('Tav. 1.2 GdP x materia x indici'!I24-'Tav. 1.2 GdP x materia x indici'!F24)/'Tav. 1.2 GdP x materia x indici'!F24," ")</f>
        <v> </v>
      </c>
      <c r="G24" s="345" t="str">
        <f>IF('Tav. 1.2 GdP x materia x indici'!G24&gt;0,'Tav. 1.2 GdP x materia x indici'!H24/'Tav. 1.2 GdP x materia x indici'!G24," ")</f>
        <v> </v>
      </c>
      <c r="H24" s="345" t="str">
        <f>IF(('Tav. 1.2 GdP x materia x indici'!F24+'Tav. 1.2 GdP x materia x indici'!G24)&gt;0,'Tav. 1.2 GdP x materia x indici'!H24/('Tav. 1.2 GdP x materia x indici'!F24+'Tav. 1.2 GdP x materia x indici'!G24)," ")</f>
        <v> </v>
      </c>
      <c r="I24" s="346" t="str">
        <f>IF(('Tav. 1.2 GdP x materia x indici'!G24+'Tav. 1.2 GdP x materia x indici'!H24)&gt;0,('Tav. 1.2 GdP x materia x indici'!F24+'Tav. 1.2 GdP x materia x indici'!I24)/('Tav. 1.2 GdP x materia x indici'!G24+'Tav. 1.2 GdP x materia x indici'!H24)," ")</f>
        <v> </v>
      </c>
      <c r="J24" s="345" t="str">
        <f>IF('Tav. 1.2 GdP x materia x indici'!J24&gt;0,('Tav. 1.2 GdP x materia x indici'!M24-'Tav. 1.2 GdP x materia x indici'!J24)/'Tav. 1.2 GdP x materia x indici'!J24," ")</f>
        <v> </v>
      </c>
      <c r="K24" s="345" t="str">
        <f>IF('Tav. 1.2 GdP x materia x indici'!K24&gt;0,'Tav. 1.2 GdP x materia x indici'!L24/'Tav. 1.2 GdP x materia x indici'!K24," ")</f>
        <v> </v>
      </c>
      <c r="L24" s="345" t="str">
        <f>IF(('Tav. 1.2 GdP x materia x indici'!J24+'Tav. 1.2 GdP x materia x indici'!K24)&gt;0,'Tav. 1.2 GdP x materia x indici'!L24/('Tav. 1.2 GdP x materia x indici'!J24+'Tav. 1.2 GdP x materia x indici'!K24)," ")</f>
        <v> </v>
      </c>
      <c r="M24" s="346" t="str">
        <f>IF(('Tav. 1.2 GdP x materia x indici'!K24+'Tav. 1.2 GdP x materia x indici'!L24)&gt;0,('Tav. 1.2 GdP x materia x indici'!J24+'Tav. 1.2 GdP x materia x indici'!M24)/('Tav. 1.2 GdP x materia x indici'!K24+'Tav. 1.2 GdP x materia x indici'!L24)," ")</f>
        <v> </v>
      </c>
      <c r="N24" s="345" t="str">
        <f>IF('Tav. 1.2 GdP x materia x indici'!N24&gt;0,('Tav. 1.2 GdP x materia x indici'!Q24-'Tav. 1.2 GdP x materia x indici'!N24)/'Tav. 1.2 GdP x materia x indici'!N24," ")</f>
        <v> </v>
      </c>
      <c r="O24" s="345" t="str">
        <f>IF('Tav. 1.2 GdP x materia x indici'!O24&gt;0,'Tav. 1.2 GdP x materia x indici'!P24/'Tav. 1.2 GdP x materia x indici'!O24," ")</f>
        <v> </v>
      </c>
      <c r="P24" s="345" t="str">
        <f>IF(('Tav. 1.2 GdP x materia x indici'!N24+'Tav. 1.2 GdP x materia x indici'!O24)&gt;0,'Tav. 1.2 GdP x materia x indici'!P24/('Tav. 1.2 GdP x materia x indici'!N24+'Tav. 1.2 GdP x materia x indici'!O24)," ")</f>
        <v> </v>
      </c>
      <c r="Q24" s="346" t="str">
        <f>IF(('Tav. 1.2 GdP x materia x indici'!O24+'Tav. 1.2 GdP x materia x indici'!P24)&gt;0,('Tav. 1.2 GdP x materia x indici'!N24+'Tav. 1.2 GdP x materia x indici'!Q24)/('Tav. 1.2 GdP x materia x indici'!O24+'Tav. 1.2 GdP x materia x indici'!P24)," ")</f>
        <v> </v>
      </c>
    </row>
    <row r="25" spans="1:17" s="13" customFormat="1" ht="12.75">
      <c r="A25" s="44" t="s">
        <v>167</v>
      </c>
      <c r="B25" s="301">
        <f>IF('Tav. 1.2 GdP x materia x indici'!B25&gt;0,('Tav. 1.2 GdP x materia x indici'!E25-'Tav. 1.2 GdP x materia x indici'!B25)/'Tav. 1.2 GdP x materia x indici'!B25," ")</f>
        <v>-0.22606924643584522</v>
      </c>
      <c r="C25" s="301">
        <f>IF('Tav. 1.2 GdP x materia x indici'!C25&gt;0,'Tav. 1.2 GdP x materia x indici'!D25/'Tav. 1.2 GdP x materia x indici'!C25," ")</f>
        <v>1.1546679052484905</v>
      </c>
      <c r="D25" s="301">
        <f>IF(('Tav. 1.2 GdP x materia x indici'!B25+'Tav. 1.2 GdP x materia x indici'!C25)&gt;0,'Tav. 1.2 GdP x materia x indici'!D25/('Tav. 1.2 GdP x materia x indici'!B25+'Tav. 1.2 GdP x materia x indici'!C25)," ")</f>
        <v>0.685603971318257</v>
      </c>
      <c r="E25" s="302">
        <f>IF(('Tav. 1.2 GdP x materia x indici'!C25+'Tav. 1.2 GdP x materia x indici'!D25)&gt;0,('Tav. 1.2 GdP x materia x indici'!B25+'Tav. 1.2 GdP x materia x indici'!E25)/('Tav. 1.2 GdP x materia x indici'!C25+'Tav. 1.2 GdP x materia x indici'!D25)," ")</f>
        <v>0.5632679456779478</v>
      </c>
      <c r="F25" s="301">
        <f>IF('Tav. 1.2 GdP x materia x indici'!F25&gt;0,('Tav. 1.2 GdP x materia x indici'!I25-'Tav. 1.2 GdP x materia x indici'!F25)/'Tav. 1.2 GdP x materia x indici'!F25," ")</f>
        <v>-0.04102259215219976</v>
      </c>
      <c r="G25" s="301">
        <f>IF('Tav. 1.2 GdP x materia x indici'!G25&gt;0,'Tav. 1.2 GdP x materia x indici'!H25/'Tav. 1.2 GdP x materia x indici'!G25," ")</f>
        <v>1.0247311827956989</v>
      </c>
      <c r="H25" s="301">
        <f>IF(('Tav. 1.2 GdP x materia x indici'!F25+'Tav. 1.2 GdP x materia x indici'!G25)&gt;0,'Tav. 1.2 GdP x materia x indici'!H25/('Tav. 1.2 GdP x materia x indici'!F25+'Tav. 1.2 GdP x materia x indici'!G25)," ")</f>
        <v>0.6393112701252236</v>
      </c>
      <c r="I25" s="302">
        <f>IF(('Tav. 1.2 GdP x materia x indici'!G25+'Tav. 1.2 GdP x materia x indici'!H25)&gt;0,('Tav. 1.2 GdP x materia x indici'!F25+'Tav. 1.2 GdP x materia x indici'!I25)/('Tav. 1.2 GdP x materia x indici'!G25+'Tav. 1.2 GdP x materia x indici'!H25)," ")</f>
        <v>0.5832890777128695</v>
      </c>
      <c r="J25" s="301">
        <f>IF('Tav. 1.2 GdP x materia x indici'!J25&gt;0,('Tav. 1.2 GdP x materia x indici'!M25-'Tav. 1.2 GdP x materia x indici'!J25)/'Tav. 1.2 GdP x materia x indici'!J25," ")</f>
        <v>-0.10865003497318722</v>
      </c>
      <c r="K25" s="301">
        <f>IF('Tav. 1.2 GdP x materia x indici'!K25&gt;0,'Tav. 1.2 GdP x materia x indici'!L25/'Tav. 1.2 GdP x materia x indici'!K25," ")</f>
        <v>1.1882828282828284</v>
      </c>
      <c r="L25" s="301">
        <f>IF(('Tav. 1.2 GdP x materia x indici'!J25+'Tav. 1.2 GdP x materia x indici'!K25)&gt;0,'Tav. 1.2 GdP x materia x indici'!L25/('Tav. 1.2 GdP x materia x indici'!J25+'Tav. 1.2 GdP x materia x indici'!K25)," ")</f>
        <v>0.4348018923713779</v>
      </c>
      <c r="M25" s="302">
        <f>IF(('Tav. 1.2 GdP x materia x indici'!K25+'Tav. 1.2 GdP x materia x indici'!L25)&gt;0,('Tav. 1.2 GdP x materia x indici'!J25+'Tav. 1.2 GdP x materia x indici'!M25)/('Tav. 1.2 GdP x materia x indici'!K25+'Tav. 1.2 GdP x materia x indici'!L25)," ")</f>
        <v>1.4977843426883308</v>
      </c>
      <c r="N25" s="301">
        <f>IF('Tav. 1.2 GdP x materia x indici'!N25&gt;0,('Tav. 1.2 GdP x materia x indici'!Q25-'Tav. 1.2 GdP x materia x indici'!N25)/'Tav. 1.2 GdP x materia x indici'!N25," ")</f>
        <v>0.18181818181818182</v>
      </c>
      <c r="O25" s="301">
        <f>IF('Tav. 1.2 GdP x materia x indici'!O25&gt;0,'Tav. 1.2 GdP x materia x indici'!P25/'Tav. 1.2 GdP x materia x indici'!O25," ")</f>
        <v>0.9555555555555556</v>
      </c>
      <c r="P25" s="301">
        <f>IF(('Tav. 1.2 GdP x materia x indici'!N25+'Tav. 1.2 GdP x materia x indici'!O25)&gt;0,'Tav. 1.2 GdP x materia x indici'!P25/('Tav. 1.2 GdP x materia x indici'!N25+'Tav. 1.2 GdP x materia x indici'!O25)," ")</f>
        <v>0.7678571428571429</v>
      </c>
      <c r="Q25" s="302">
        <f>IF(('Tav. 1.2 GdP x materia x indici'!O25+'Tav. 1.2 GdP x materia x indici'!P25)&gt;0,('Tav. 1.2 GdP x materia x indici'!N25+'Tav. 1.2 GdP x materia x indici'!Q25)/('Tav. 1.2 GdP x materia x indici'!O25+'Tav. 1.2 GdP x materia x indici'!P25)," ")</f>
        <v>0.2727272727272727</v>
      </c>
    </row>
    <row r="26" spans="1:17" ht="12.75">
      <c r="A26" s="42" t="s">
        <v>186</v>
      </c>
      <c r="B26" s="147">
        <f>IF('Tav. 1.2 GdP x materia x indici'!B26&gt;0,('Tav. 1.2 GdP x materia x indici'!E26-'Tav. 1.2 GdP x materia x indici'!B26)/'Tav. 1.2 GdP x materia x indici'!B26," ")</f>
        <v>-0.5837837837837838</v>
      </c>
      <c r="C26" s="147">
        <f>IF('Tav. 1.2 GdP x materia x indici'!C26&gt;0,'Tav. 1.2 GdP x materia x indici'!D26/'Tav. 1.2 GdP x materia x indici'!C26," ")</f>
        <v>3.16</v>
      </c>
      <c r="D26" s="147">
        <f>IF(('Tav. 1.2 GdP x materia x indici'!B26+'Tav. 1.2 GdP x materia x indici'!C26)&gt;0,'Tav. 1.2 GdP x materia x indici'!D26/('Tav. 1.2 GdP x materia x indici'!B26+'Tav. 1.2 GdP x materia x indici'!C26)," ")</f>
        <v>0.6723404255319149</v>
      </c>
      <c r="E26" s="148">
        <f>IF(('Tav. 1.2 GdP x materia x indici'!C26+'Tav. 1.2 GdP x materia x indici'!D26)&gt;0,('Tav. 1.2 GdP x materia x indici'!B26+'Tav. 1.2 GdP x materia x indici'!E26)/('Tav. 1.2 GdP x materia x indici'!C26+'Tav. 1.2 GdP x materia x indici'!D26)," ")</f>
        <v>1.2596153846153846</v>
      </c>
      <c r="F26" s="147">
        <f>IF('Tav. 1.2 GdP x materia x indici'!F26&gt;0,('Tav. 1.2 GdP x materia x indici'!I26-'Tav. 1.2 GdP x materia x indici'!F26)/'Tav. 1.2 GdP x materia x indici'!F26," ")</f>
        <v>0.1724137931034483</v>
      </c>
      <c r="G26" s="147">
        <f>IF('Tav. 1.2 GdP x materia x indici'!G26&gt;0,'Tav. 1.2 GdP x materia x indici'!H26/'Tav. 1.2 GdP x materia x indici'!G26," ")</f>
        <v>0.5454545454545454</v>
      </c>
      <c r="H26" s="147">
        <f>IF(('Tav. 1.2 GdP x materia x indici'!F26+'Tav. 1.2 GdP x materia x indici'!G26)&gt;0,'Tav. 1.2 GdP x materia x indici'!H26/('Tav. 1.2 GdP x materia x indici'!F26+'Tav. 1.2 GdP x materia x indici'!G26)," ")</f>
        <v>0.15</v>
      </c>
      <c r="I26" s="148">
        <f>IF(('Tav. 1.2 GdP x materia x indici'!G26+'Tav. 1.2 GdP x materia x indici'!H26)&gt;0,('Tav. 1.2 GdP x materia x indici'!F26+'Tav. 1.2 GdP x materia x indici'!I26)/('Tav. 1.2 GdP x materia x indici'!G26+'Tav. 1.2 GdP x materia x indici'!H26)," ")</f>
        <v>3.7058823529411766</v>
      </c>
      <c r="J26" s="147">
        <f>IF('Tav. 1.2 GdP x materia x indici'!J26&gt;0,('Tav. 1.2 GdP x materia x indici'!M26-'Tav. 1.2 GdP x materia x indici'!J26)/'Tav. 1.2 GdP x materia x indici'!J26," ")</f>
        <v>-0.4117647058823529</v>
      </c>
      <c r="K26" s="147">
        <f>IF('Tav. 1.2 GdP x materia x indici'!K26&gt;0,'Tav. 1.2 GdP x materia x indici'!L26/'Tav. 1.2 GdP x materia x indici'!K26," ")</f>
        <v>15</v>
      </c>
      <c r="L26" s="147">
        <f>IF(('Tav. 1.2 GdP x materia x indici'!J26+'Tav. 1.2 GdP x materia x indici'!K26)&gt;0,'Tav. 1.2 GdP x materia x indici'!L26/('Tav. 1.2 GdP x materia x indici'!J26+'Tav. 1.2 GdP x materia x indici'!K26)," ")</f>
        <v>0.42857142857142855</v>
      </c>
      <c r="M26" s="148">
        <f>IF(('Tav. 1.2 GdP x materia x indici'!K26+'Tav. 1.2 GdP x materia x indici'!L26)&gt;0,('Tav. 1.2 GdP x materia x indici'!J26+'Tav. 1.2 GdP x materia x indici'!M26)/('Tav. 1.2 GdP x materia x indici'!K26+'Tav. 1.2 GdP x materia x indici'!L26)," ")</f>
        <v>3.375</v>
      </c>
      <c r="N26" s="147" t="str">
        <f>IF('Tav. 1.2 GdP x materia x indici'!N26&gt;0,('Tav. 1.2 GdP x materia x indici'!Q26-'Tav. 1.2 GdP x materia x indici'!N26)/'Tav. 1.2 GdP x materia x indici'!N26," ")</f>
        <v> </v>
      </c>
      <c r="O26" s="147" t="str">
        <f>IF('Tav. 1.2 GdP x materia x indici'!O26&gt;0,'Tav. 1.2 GdP x materia x indici'!P26/'Tav. 1.2 GdP x materia x indici'!O26," ")</f>
        <v> </v>
      </c>
      <c r="P26" s="147" t="str">
        <f>IF(('Tav. 1.2 GdP x materia x indici'!N26+'Tav. 1.2 GdP x materia x indici'!O26)&gt;0,'Tav. 1.2 GdP x materia x indici'!P26/('Tav. 1.2 GdP x materia x indici'!N26+'Tav. 1.2 GdP x materia x indici'!O26)," ")</f>
        <v> </v>
      </c>
      <c r="Q26" s="148" t="str">
        <f>IF(('Tav. 1.2 GdP x materia x indici'!O26+'Tav. 1.2 GdP x materia x indici'!P26)&gt;0,('Tav. 1.2 GdP x materia x indici'!N26+'Tav. 1.2 GdP x materia x indici'!Q26)/('Tav. 1.2 GdP x materia x indici'!O26+'Tav. 1.2 GdP x materia x indici'!P26)," ")</f>
        <v> </v>
      </c>
    </row>
    <row r="27" spans="1:17" ht="12.75">
      <c r="A27" s="42" t="s">
        <v>187</v>
      </c>
      <c r="B27" s="147">
        <f>IF('Tav. 1.2 GdP x materia x indici'!B27&gt;0,('Tav. 1.2 GdP x materia x indici'!E27-'Tav. 1.2 GdP x materia x indici'!B27)/'Tav. 1.2 GdP x materia x indici'!B27," ")</f>
        <v>0.5737704918032787</v>
      </c>
      <c r="C27" s="147">
        <f>IF('Tav. 1.2 GdP x materia x indici'!C27&gt;0,'Tav. 1.2 GdP x materia x indici'!D27/'Tav. 1.2 GdP x materia x indici'!C27," ")</f>
        <v>0.4444444444444444</v>
      </c>
      <c r="D27" s="147">
        <f>IF(('Tav. 1.2 GdP x materia x indici'!B27+'Tav. 1.2 GdP x materia x indici'!C27)&gt;0,'Tav. 1.2 GdP x materia x indici'!D27/('Tav. 1.2 GdP x materia x indici'!B27+'Tav. 1.2 GdP x materia x indici'!C27)," ")</f>
        <v>0.22580645161290322</v>
      </c>
      <c r="E27" s="148">
        <f>IF(('Tav. 1.2 GdP x materia x indici'!C27+'Tav. 1.2 GdP x materia x indici'!D27)&gt;0,('Tav. 1.2 GdP x materia x indici'!B27+'Tav. 1.2 GdP x materia x indici'!E27)/('Tav. 1.2 GdP x materia x indici'!C27+'Tav. 1.2 GdP x materia x indici'!D27)," ")</f>
        <v>1.7252747252747254</v>
      </c>
      <c r="F27" s="147">
        <f>IF('Tav. 1.2 GdP x materia x indici'!F27&gt;0,('Tav. 1.2 GdP x materia x indici'!I27-'Tav. 1.2 GdP x materia x indici'!F27)/'Tav. 1.2 GdP x materia x indici'!F27," ")</f>
        <v>0.27710843373493976</v>
      </c>
      <c r="G27" s="147">
        <f>IF('Tav. 1.2 GdP x materia x indici'!G27&gt;0,'Tav. 1.2 GdP x materia x indici'!H27/'Tav. 1.2 GdP x materia x indici'!G27," ")</f>
        <v>0.3611111111111111</v>
      </c>
      <c r="H27" s="147">
        <f>IF(('Tav. 1.2 GdP x materia x indici'!F27+'Tav. 1.2 GdP x materia x indici'!G27)&gt;0,'Tav. 1.2 GdP x materia x indici'!H27/('Tav. 1.2 GdP x materia x indici'!F27+'Tav. 1.2 GdP x materia x indici'!G27)," ")</f>
        <v>0.1092436974789916</v>
      </c>
      <c r="I27" s="148">
        <f>IF(('Tav. 1.2 GdP x materia x indici'!G27+'Tav. 1.2 GdP x materia x indici'!H27)&gt;0,('Tav. 1.2 GdP x materia x indici'!F27+'Tav. 1.2 GdP x materia x indici'!I27)/('Tav. 1.2 GdP x materia x indici'!G27+'Tav. 1.2 GdP x materia x indici'!H27)," ")</f>
        <v>3.857142857142857</v>
      </c>
      <c r="J27" s="147">
        <f>IF('Tav. 1.2 GdP x materia x indici'!J27&gt;0,('Tav. 1.2 GdP x materia x indici'!M27-'Tav. 1.2 GdP x materia x indici'!J27)/'Tav. 1.2 GdP x materia x indici'!J27," ")</f>
        <v>0.022857142857142857</v>
      </c>
      <c r="K27" s="147">
        <f>IF('Tav. 1.2 GdP x materia x indici'!K27&gt;0,'Tav. 1.2 GdP x materia x indici'!L27/'Tav. 1.2 GdP x materia x indici'!K27," ")</f>
        <v>0.9111111111111111</v>
      </c>
      <c r="L27" s="147">
        <f>IF(('Tav. 1.2 GdP x materia x indici'!J27+'Tav. 1.2 GdP x materia x indici'!K27)&gt;0,'Tav. 1.2 GdP x materia x indici'!L27/('Tav. 1.2 GdP x materia x indici'!J27+'Tav. 1.2 GdP x materia x indici'!K27)," ")</f>
        <v>0.18636363636363637</v>
      </c>
      <c r="M27" s="148">
        <f>IF(('Tav. 1.2 GdP x materia x indici'!K27+'Tav. 1.2 GdP x materia x indici'!L27)&gt;0,('Tav. 1.2 GdP x materia x indici'!J27+'Tav. 1.2 GdP x materia x indici'!M27)/('Tav. 1.2 GdP x materia x indici'!K27+'Tav. 1.2 GdP x materia x indici'!L27)," ")</f>
        <v>4.116279069767442</v>
      </c>
      <c r="N27" s="147" t="str">
        <f>IF('Tav. 1.2 GdP x materia x indici'!N27&gt;0,('Tav. 1.2 GdP x materia x indici'!Q27-'Tav. 1.2 GdP x materia x indici'!N27)/'Tav. 1.2 GdP x materia x indici'!N27," ")</f>
        <v> </v>
      </c>
      <c r="O27" s="147" t="str">
        <f>IF('Tav. 1.2 GdP x materia x indici'!O27&gt;0,'Tav. 1.2 GdP x materia x indici'!P27/'Tav. 1.2 GdP x materia x indici'!O27," ")</f>
        <v> </v>
      </c>
      <c r="P27" s="147" t="str">
        <f>IF(('Tav. 1.2 GdP x materia x indici'!N27+'Tav. 1.2 GdP x materia x indici'!O27)&gt;0,'Tav. 1.2 GdP x materia x indici'!P27/('Tav. 1.2 GdP x materia x indici'!N27+'Tav. 1.2 GdP x materia x indici'!O27)," ")</f>
        <v> </v>
      </c>
      <c r="Q27" s="148" t="str">
        <f>IF(('Tav. 1.2 GdP x materia x indici'!O27+'Tav. 1.2 GdP x materia x indici'!P27)&gt;0,('Tav. 1.2 GdP x materia x indici'!N27+'Tav. 1.2 GdP x materia x indici'!Q27)/('Tav. 1.2 GdP x materia x indici'!O27+'Tav. 1.2 GdP x materia x indici'!P27)," ")</f>
        <v> </v>
      </c>
    </row>
    <row r="28" spans="1:17" ht="12.75">
      <c r="A28" s="42" t="s">
        <v>185</v>
      </c>
      <c r="B28" s="147">
        <f>IF('Tav. 1.2 GdP x materia x indici'!B30&gt;0,('Tav. 1.2 GdP x materia x indici'!E30-'Tav. 1.2 GdP x materia x indici'!B30)/'Tav. 1.2 GdP x materia x indici'!B30," ")</f>
        <v>0.017391304347826087</v>
      </c>
      <c r="C28" s="147">
        <f>IF('Tav. 1.2 GdP x materia x indici'!C30&gt;0,'Tav. 1.2 GdP x materia x indici'!D30/'Tav. 1.2 GdP x materia x indici'!C30," ")</f>
        <v>0.965034965034965</v>
      </c>
      <c r="D28" s="147">
        <f>IF(('Tav. 1.2 GdP x materia x indici'!B30+'Tav. 1.2 GdP x materia x indici'!C30)&gt;0,'Tav. 1.2 GdP x materia x indici'!D30/('Tav. 1.2 GdP x materia x indici'!B30+'Tav. 1.2 GdP x materia x indici'!C30)," ")</f>
        <v>0.3205574912891986</v>
      </c>
      <c r="E28" s="148">
        <f>IF(('Tav. 1.2 GdP x materia x indici'!C30+'Tav. 1.2 GdP x materia x indici'!D30)&gt;0,('Tav. 1.2 GdP x materia x indici'!B30+'Tav. 1.2 GdP x materia x indici'!E30)/('Tav. 1.2 GdP x materia x indici'!C30+'Tav. 1.2 GdP x materia x indici'!D30)," ")</f>
        <v>2.0640569395017794</v>
      </c>
      <c r="F28" s="147">
        <f>IF('Tav. 1.2 GdP x materia x indici'!F30&gt;0,('Tav. 1.2 GdP x materia x indici'!I30-'Tav. 1.2 GdP x materia x indici'!F30)/'Tav. 1.2 GdP x materia x indici'!F30," ")</f>
        <v>-0.1336405529953917</v>
      </c>
      <c r="G28" s="147">
        <f>IF('Tav. 1.2 GdP x materia x indici'!G30&gt;0,'Tav. 1.2 GdP x materia x indici'!H30/'Tav. 1.2 GdP x materia x indici'!G30," ")</f>
        <v>1.25</v>
      </c>
      <c r="H28" s="147">
        <f>IF(('Tav. 1.2 GdP x materia x indici'!F30+'Tav. 1.2 GdP x materia x indici'!G30)&gt;0,'Tav. 1.2 GdP x materia x indici'!H30/('Tav. 1.2 GdP x materia x indici'!F30+'Tav. 1.2 GdP x materia x indici'!G30)," ")</f>
        <v>0.43543543543543545</v>
      </c>
      <c r="I28" s="148">
        <f>IF(('Tav. 1.2 GdP x materia x indici'!G30+'Tav. 1.2 GdP x materia x indici'!H30)&gt;0,('Tav. 1.2 GdP x materia x indici'!F30+'Tav. 1.2 GdP x materia x indici'!I30)/('Tav. 1.2 GdP x materia x indici'!G30+'Tav. 1.2 GdP x materia x indici'!H30)," ")</f>
        <v>1.5517241379310345</v>
      </c>
      <c r="J28" s="147">
        <f>IF('Tav. 1.2 GdP x materia x indici'!J30&gt;0,('Tav. 1.2 GdP x materia x indici'!M30-'Tav. 1.2 GdP x materia x indici'!J30)/'Tav. 1.2 GdP x materia x indici'!J30," ")</f>
        <v>-0.0444015444015444</v>
      </c>
      <c r="K28" s="147">
        <f>IF('Tav. 1.2 GdP x materia x indici'!K30&gt;0,'Tav. 1.2 GdP x materia x indici'!L30/'Tav. 1.2 GdP x materia x indici'!K30," ")</f>
        <v>1.1329479768786128</v>
      </c>
      <c r="L28" s="147">
        <f>IF(('Tav. 1.2 GdP x materia x indici'!J30+'Tav. 1.2 GdP x materia x indici'!K30)&gt;0,'Tav. 1.2 GdP x materia x indici'!L30/('Tav. 1.2 GdP x materia x indici'!J30+'Tav. 1.2 GdP x materia x indici'!K30)," ")</f>
        <v>0.28364688856729375</v>
      </c>
      <c r="M28" s="148">
        <f>IF(('Tav. 1.2 GdP x materia x indici'!K30+'Tav. 1.2 GdP x materia x indici'!L30)&gt;0,('Tav. 1.2 GdP x materia x indici'!J30+'Tav. 1.2 GdP x materia x indici'!M30)/('Tav. 1.2 GdP x materia x indici'!K30+'Tav. 1.2 GdP x materia x indici'!L30)," ")</f>
        <v>2.745257452574526</v>
      </c>
      <c r="N28" s="147">
        <f>IF('Tav. 1.2 GdP x materia x indici'!N30&gt;0,('Tav. 1.2 GdP x materia x indici'!Q30-'Tav. 1.2 GdP x materia x indici'!N30)/'Tav. 1.2 GdP x materia x indici'!N30," ")</f>
        <v>-0.5</v>
      </c>
      <c r="O28" s="147">
        <f>IF('Tav. 1.2 GdP x materia x indici'!O30&gt;0,'Tav. 1.2 GdP x materia x indici'!P30/'Tav. 1.2 GdP x materia x indici'!O30," ")</f>
        <v>1.0434782608695652</v>
      </c>
      <c r="P28" s="147">
        <f>IF(('Tav. 1.2 GdP x materia x indici'!N30+'Tav. 1.2 GdP x materia x indici'!O30)&gt;0,'Tav. 1.2 GdP x materia x indici'!P30/('Tav. 1.2 GdP x materia x indici'!N30+'Tav. 1.2 GdP x materia x indici'!O30)," ")</f>
        <v>0.96</v>
      </c>
      <c r="Q28" s="148">
        <f>IF(('Tav. 1.2 GdP x materia x indici'!O30+'Tav. 1.2 GdP x materia x indici'!P30)&gt;0,('Tav. 1.2 GdP x materia x indici'!N30+'Tav. 1.2 GdP x materia x indici'!Q30)/('Tav. 1.2 GdP x materia x indici'!O30+'Tav. 1.2 GdP x materia x indici'!P30)," ")</f>
        <v>0.06382978723404255</v>
      </c>
    </row>
    <row r="29" spans="1:17" ht="12.75">
      <c r="A29" s="42" t="s">
        <v>188</v>
      </c>
      <c r="B29" s="147">
        <f>IF('Tav. 1.2 GdP x materia x indici'!B32&gt;0,('Tav. 1.2 GdP x materia x indici'!E32-'Tav. 1.2 GdP x materia x indici'!B32)/'Tav. 1.2 GdP x materia x indici'!B32," ")</f>
        <v>0.0028328611898017</v>
      </c>
      <c r="C29" s="147">
        <f>IF('Tav. 1.2 GdP x materia x indici'!C32&gt;0,'Tav. 1.2 GdP x materia x indici'!D32/'Tav. 1.2 GdP x materia x indici'!C32," ")</f>
        <v>0.9973614775725593</v>
      </c>
      <c r="D29" s="147">
        <f>IF(('Tav. 1.2 GdP x materia x indici'!B32+'Tav. 1.2 GdP x materia x indici'!C32)&gt;0,'Tav. 1.2 GdP x materia x indici'!D32/('Tav. 1.2 GdP x materia x indici'!B32+'Tav. 1.2 GdP x materia x indici'!C32)," ")</f>
        <v>0.5163934426229508</v>
      </c>
      <c r="E29" s="148">
        <f>IF(('Tav. 1.2 GdP x materia x indici'!C32+'Tav. 1.2 GdP x materia x indici'!D32)&gt;0,('Tav. 1.2 GdP x materia x indici'!B32+'Tav. 1.2 GdP x materia x indici'!E32)/('Tav. 1.2 GdP x materia x indici'!C32+'Tav. 1.2 GdP x materia x indici'!D32)," ")</f>
        <v>0.9339498018494056</v>
      </c>
      <c r="F29" s="147">
        <f>IF('Tav. 1.2 GdP x materia x indici'!F32&gt;0,('Tav. 1.2 GdP x materia x indici'!I32-'Tav. 1.2 GdP x materia x indici'!F32)/'Tav. 1.2 GdP x materia x indici'!F32," ")</f>
        <v>-0.05027932960893855</v>
      </c>
      <c r="G29" s="147">
        <f>IF('Tav. 1.2 GdP x materia x indici'!G32&gt;0,'Tav. 1.2 GdP x materia x indici'!H32/'Tav. 1.2 GdP x materia x indici'!G32," ")</f>
        <v>1.0789473684210527</v>
      </c>
      <c r="H29" s="147">
        <f>IF(('Tav. 1.2 GdP x materia x indici'!F32+'Tav. 1.2 GdP x materia x indici'!G32)&gt;0,'Tav. 1.2 GdP x materia x indici'!H32/('Tav. 1.2 GdP x materia x indici'!F32+'Tav. 1.2 GdP x materia x indici'!G32)," ")</f>
        <v>0.4197952218430034</v>
      </c>
      <c r="I29" s="148">
        <f>IF(('Tav. 1.2 GdP x materia x indici'!G32+'Tav. 1.2 GdP x materia x indici'!H32)&gt;0,('Tav. 1.2 GdP x materia x indici'!F32+'Tav. 1.2 GdP x materia x indici'!I32)/('Tav. 1.2 GdP x materia x indici'!G32+'Tav. 1.2 GdP x materia x indici'!H32)," ")</f>
        <v>1.4725738396624473</v>
      </c>
      <c r="J29" s="147">
        <f>IF('Tav. 1.2 GdP x materia x indici'!J32&gt;0,('Tav. 1.2 GdP x materia x indici'!M32-'Tav. 1.2 GdP x materia x indici'!J32)/'Tav. 1.2 GdP x materia x indici'!J32," ")</f>
        <v>0.20105820105820105</v>
      </c>
      <c r="K29" s="147">
        <f>IF('Tav. 1.2 GdP x materia x indici'!K32&gt;0,'Tav. 1.2 GdP x materia x indici'!L32/'Tav. 1.2 GdP x materia x indici'!K32," ")</f>
        <v>0.7054263565891473</v>
      </c>
      <c r="L29" s="147">
        <f>IF(('Tav. 1.2 GdP x materia x indici'!J32+'Tav. 1.2 GdP x materia x indici'!K32)&gt;0,'Tav. 1.2 GdP x materia x indici'!L32/('Tav. 1.2 GdP x materia x indici'!J32+'Tav. 1.2 GdP x materia x indici'!K32)," ")</f>
        <v>0.2861635220125786</v>
      </c>
      <c r="M29" s="148">
        <f>IF(('Tav. 1.2 GdP x materia x indici'!K32+'Tav. 1.2 GdP x materia x indici'!L32)&gt;0,('Tav. 1.2 GdP x materia x indici'!J32+'Tav. 1.2 GdP x materia x indici'!M32)/('Tav. 1.2 GdP x materia x indici'!K32+'Tav. 1.2 GdP x materia x indici'!L32)," ")</f>
        <v>1.8909090909090909</v>
      </c>
      <c r="N29" s="147" t="str">
        <f>IF('Tav. 1.2 GdP x materia x indici'!N32&gt;0,('Tav. 1.2 GdP x materia x indici'!Q32-'Tav. 1.2 GdP x materia x indici'!N32)/'Tav. 1.2 GdP x materia x indici'!N32," ")</f>
        <v> </v>
      </c>
      <c r="O29" s="147" t="str">
        <f>IF('Tav. 1.2 GdP x materia x indici'!O32&gt;0,'Tav. 1.2 GdP x materia x indici'!P32/'Tav. 1.2 GdP x materia x indici'!O32," ")</f>
        <v> </v>
      </c>
      <c r="P29" s="147" t="str">
        <f>IF(('Tav. 1.2 GdP x materia x indici'!N32+'Tav. 1.2 GdP x materia x indici'!O32)&gt;0,'Tav. 1.2 GdP x materia x indici'!P32/('Tav. 1.2 GdP x materia x indici'!N32+'Tav. 1.2 GdP x materia x indici'!O32)," ")</f>
        <v> </v>
      </c>
      <c r="Q29" s="148" t="str">
        <f>IF(('Tav. 1.2 GdP x materia x indici'!O32+'Tav. 1.2 GdP x materia x indici'!P32)&gt;0,('Tav. 1.2 GdP x materia x indici'!N32+'Tav. 1.2 GdP x materia x indici'!Q32)/('Tav. 1.2 GdP x materia x indici'!O32+'Tav. 1.2 GdP x materia x indici'!P32)," ")</f>
        <v> </v>
      </c>
    </row>
    <row r="30" spans="1:17" s="13" customFormat="1" ht="12.75">
      <c r="A30" s="44" t="s">
        <v>184</v>
      </c>
      <c r="B30" s="301">
        <f>IF('Tav. 1.2 GdP x materia x indici'!B33&gt;0,('Tav. 1.2 GdP x materia x indici'!E33-'Tav. 1.2 GdP x materia x indici'!B33)/'Tav. 1.2 GdP x materia x indici'!B33," ")</f>
        <v>-0.04169611307420495</v>
      </c>
      <c r="C30" s="301">
        <f>IF('Tav. 1.2 GdP x materia x indici'!C33&gt;0,'Tav. 1.2 GdP x materia x indici'!D33/'Tav. 1.2 GdP x materia x indici'!C33," ")</f>
        <v>1.054178145087236</v>
      </c>
      <c r="D30" s="301">
        <f>IF(('Tav. 1.2 GdP x materia x indici'!B33+'Tav. 1.2 GdP x materia x indici'!C33)&gt;0,'Tav. 1.2 GdP x materia x indici'!D33/('Tav. 1.2 GdP x materia x indici'!B33+'Tav. 1.2 GdP x materia x indici'!C33)," ")</f>
        <v>0.4584664536741214</v>
      </c>
      <c r="E30" s="302">
        <f>IF(('Tav. 1.2 GdP x materia x indici'!C33+'Tav. 1.2 GdP x materia x indici'!D33)&gt;0,('Tav. 1.2 GdP x materia x indici'!B33+'Tav. 1.2 GdP x materia x indici'!E33)/('Tav. 1.2 GdP x materia x indici'!C33+'Tav. 1.2 GdP x materia x indici'!D33)," ")</f>
        <v>1.2387125614662495</v>
      </c>
      <c r="F30" s="301">
        <f>IF('Tav. 1.2 GdP x materia x indici'!F33&gt;0,('Tav. 1.2 GdP x materia x indici'!I33-'Tav. 1.2 GdP x materia x indici'!F33)/'Tav. 1.2 GdP x materia x indici'!F33," ")</f>
        <v>-0.0343878954607978</v>
      </c>
      <c r="G30" s="301">
        <f>IF('Tav. 1.2 GdP x materia x indici'!G33&gt;0,'Tav. 1.2 GdP x materia x indici'!H33/'Tav. 1.2 GdP x materia x indici'!G33," ")</f>
        <v>1.0538793103448276</v>
      </c>
      <c r="H30" s="301">
        <f>IF(('Tav. 1.2 GdP x materia x indici'!F33+'Tav. 1.2 GdP x materia x indici'!G33)&gt;0,'Tav. 1.2 GdP x materia x indici'!H33/('Tav. 1.2 GdP x materia x indici'!F33+'Tav. 1.2 GdP x materia x indici'!G33)," ")</f>
        <v>0.4105793450881612</v>
      </c>
      <c r="I30" s="302">
        <f>IF(('Tav. 1.2 GdP x materia x indici'!G33+'Tav. 1.2 GdP x materia x indici'!H33)&gt;0,('Tav. 1.2 GdP x materia x indici'!F33+'Tav. 1.2 GdP x materia x indici'!I33)/('Tav. 1.2 GdP x materia x indici'!G33+'Tav. 1.2 GdP x materia x indici'!H33)," ")</f>
        <v>1.4994753410283317</v>
      </c>
      <c r="J30" s="301">
        <f>IF('Tav. 1.2 GdP x materia x indici'!J33&gt;0,('Tav. 1.2 GdP x materia x indici'!M33-'Tav. 1.2 GdP x materia x indici'!J33)/'Tav. 1.2 GdP x materia x indici'!J33," ")</f>
        <v>0.025423728813559324</v>
      </c>
      <c r="K30" s="301">
        <f>IF('Tav. 1.2 GdP x materia x indici'!K33&gt;0,'Tav. 1.2 GdP x materia x indici'!L33/'Tav. 1.2 GdP x materia x indici'!K33," ")</f>
        <v>0.946515397082658</v>
      </c>
      <c r="L30" s="301">
        <f>IF(('Tav. 1.2 GdP x materia x indici'!J33+'Tav. 1.2 GdP x materia x indici'!K33)&gt;0,'Tav. 1.2 GdP x materia x indici'!L33/('Tav. 1.2 GdP x materia x indici'!J33+'Tav. 1.2 GdP x materia x indici'!K33)," ")</f>
        <v>0.3049608355091384</v>
      </c>
      <c r="M30" s="302">
        <f>IF(('Tav. 1.2 GdP x materia x indici'!K33+'Tav. 1.2 GdP x materia x indici'!L33)&gt;0,('Tav. 1.2 GdP x materia x indici'!J33+'Tav. 1.2 GdP x materia x indici'!M33)/('Tav. 1.2 GdP x materia x indici'!K33+'Tav. 1.2 GdP x materia x indici'!L33)," ")</f>
        <v>2.1890091590341383</v>
      </c>
      <c r="N30" s="301">
        <f>IF('Tav. 1.2 GdP x materia x indici'!N33&gt;0,('Tav. 1.2 GdP x materia x indici'!Q33-'Tav. 1.2 GdP x materia x indici'!N33)/'Tav. 1.2 GdP x materia x indici'!N33," ")</f>
        <v>-0.5</v>
      </c>
      <c r="O30" s="301">
        <f>IF('Tav. 1.2 GdP x materia x indici'!O33&gt;0,'Tav. 1.2 GdP x materia x indici'!P33/'Tav. 1.2 GdP x materia x indici'!O33," ")</f>
        <v>1.0434782608695652</v>
      </c>
      <c r="P30" s="301">
        <f>IF(('Tav. 1.2 GdP x materia x indici'!N33+'Tav. 1.2 GdP x materia x indici'!O33)&gt;0,'Tav. 1.2 GdP x materia x indici'!P33/('Tav. 1.2 GdP x materia x indici'!N33+'Tav. 1.2 GdP x materia x indici'!O33)," ")</f>
        <v>0.96</v>
      </c>
      <c r="Q30" s="302">
        <f>IF(('Tav. 1.2 GdP x materia x indici'!O33+'Tav. 1.2 GdP x materia x indici'!P33)&gt;0,('Tav. 1.2 GdP x materia x indici'!N33+'Tav. 1.2 GdP x materia x indici'!Q33)/('Tav. 1.2 GdP x materia x indici'!O33+'Tav. 1.2 GdP x materia x indici'!P33)," ")</f>
        <v>0.06382978723404255</v>
      </c>
    </row>
    <row r="31" spans="1:17" ht="12.75">
      <c r="A31" s="42" t="s">
        <v>191</v>
      </c>
      <c r="B31" s="147">
        <f>IF('Tav. 1.2 GdP x materia x indici'!B34&gt;0,('Tav. 1.2 GdP x materia x indici'!E34-'Tav. 1.2 GdP x materia x indici'!B34)/'Tav. 1.2 GdP x materia x indici'!B34," ")</f>
        <v>-0.1702127659574468</v>
      </c>
      <c r="C31" s="147">
        <f>IF('Tav. 1.2 GdP x materia x indici'!C34&gt;0,'Tav. 1.2 GdP x materia x indici'!D34/'Tav. 1.2 GdP x materia x indici'!C34," ")</f>
        <v>1.125</v>
      </c>
      <c r="D31" s="147">
        <f>IF(('Tav. 1.2 GdP x materia x indici'!B34+'Tav. 1.2 GdP x materia x indici'!C34)&gt;0,'Tav. 1.2 GdP x materia x indici'!D34/('Tav. 1.2 GdP x materia x indici'!B34+'Tav. 1.2 GdP x materia x indici'!C34)," ")</f>
        <v>0.6486486486486487</v>
      </c>
      <c r="E31" s="148">
        <f>IF(('Tav. 1.2 GdP x materia x indici'!C34+'Tav. 1.2 GdP x materia x indici'!D34)&gt;0,('Tav. 1.2 GdP x materia x indici'!B34+'Tav. 1.2 GdP x materia x indici'!E34)/('Tav. 1.2 GdP x materia x indici'!C34+'Tav. 1.2 GdP x materia x indici'!D34)," ")</f>
        <v>0.6323529411764706</v>
      </c>
      <c r="F31" s="301" t="str">
        <f>IF('Tav. 1.2 GdP x materia x indici'!F34&gt;0,('Tav. 1.2 GdP x materia x indici'!I34-'Tav. 1.2 GdP x materia x indici'!F34)/'Tav. 1.2 GdP x materia x indici'!F34," ")</f>
        <v> </v>
      </c>
      <c r="G31" s="301" t="str">
        <f>IF('Tav. 1.2 GdP x materia x indici'!G34&gt;0,'Tav. 1.2 GdP x materia x indici'!H34/'Tav. 1.2 GdP x materia x indici'!G34," ")</f>
        <v> </v>
      </c>
      <c r="H31" s="301" t="str">
        <f>IF(('Tav. 1.2 GdP x materia x indici'!F34+'Tav. 1.2 GdP x materia x indici'!G34)&gt;0,'Tav. 1.2 GdP x materia x indici'!H34/('Tav. 1.2 GdP x materia x indici'!F34+'Tav. 1.2 GdP x materia x indici'!G34)," ")</f>
        <v> </v>
      </c>
      <c r="I31" s="148" t="str">
        <f>IF(('Tav. 1.2 GdP x materia x indici'!G34+'Tav. 1.2 GdP x materia x indici'!H34)&gt;0,('Tav. 1.2 GdP x materia x indici'!F34+'Tav. 1.2 GdP x materia x indici'!I34)/('Tav. 1.2 GdP x materia x indici'!G34+'Tav. 1.2 GdP x materia x indici'!H34)," ")</f>
        <v> </v>
      </c>
      <c r="J31" s="147">
        <f>IF('Tav. 1.2 GdP x materia x indici'!J34&gt;0,('Tav. 1.2 GdP x materia x indici'!M34-'Tav. 1.2 GdP x materia x indici'!J34)/'Tav. 1.2 GdP x materia x indici'!J34," ")</f>
        <v>-0.15979381443298968</v>
      </c>
      <c r="K31" s="147">
        <f>IF('Tav. 1.2 GdP x materia x indici'!K34&gt;0,'Tav. 1.2 GdP x materia x indici'!L34/'Tav. 1.2 GdP x materia x indici'!K34," ")</f>
        <v>1.4133333333333333</v>
      </c>
      <c r="L31" s="147">
        <f>IF(('Tav. 1.2 GdP x materia x indici'!J34+'Tav. 1.2 GdP x materia x indici'!K34)&gt;0,'Tav. 1.2 GdP x materia x indici'!L34/('Tav. 1.2 GdP x materia x indici'!J34+'Tav. 1.2 GdP x materia x indici'!K34)," ")</f>
        <v>0.3940520446096654</v>
      </c>
      <c r="M31" s="148">
        <f>IF(('Tav. 1.2 GdP x materia x indici'!K34+'Tav. 1.2 GdP x materia x indici'!L34)&gt;0,('Tav. 1.2 GdP x materia x indici'!J34+'Tav. 1.2 GdP x materia x indici'!M34)/('Tav. 1.2 GdP x materia x indici'!K34+'Tav. 1.2 GdP x materia x indici'!L34)," ")</f>
        <v>1.9723756906077348</v>
      </c>
      <c r="N31" s="147" t="str">
        <f>IF('Tav. 1.2 GdP x materia x indici'!N34&gt;0,('Tav. 1.2 GdP x materia x indici'!Q34-'Tav. 1.2 GdP x materia x indici'!N34)/'Tav. 1.2 GdP x materia x indici'!N34," ")</f>
        <v> </v>
      </c>
      <c r="O31" s="147" t="str">
        <f>IF('Tav. 1.2 GdP x materia x indici'!O34&gt;0,'Tav. 1.2 GdP x materia x indici'!P34/'Tav. 1.2 GdP x materia x indici'!O34," ")</f>
        <v> </v>
      </c>
      <c r="P31" s="147" t="str">
        <f>IF(('Tav. 1.2 GdP x materia x indici'!N34+'Tav. 1.2 GdP x materia x indici'!O34)&gt;0,'Tav. 1.2 GdP x materia x indici'!P34/('Tav. 1.2 GdP x materia x indici'!N34+'Tav. 1.2 GdP x materia x indici'!O34)," ")</f>
        <v> </v>
      </c>
      <c r="Q31" s="148" t="str">
        <f>IF(('Tav. 1.2 GdP x materia x indici'!O34+'Tav. 1.2 GdP x materia x indici'!P34)&gt;0,('Tav. 1.2 GdP x materia x indici'!N34+'Tav. 1.2 GdP x materia x indici'!Q34)/('Tav. 1.2 GdP x materia x indici'!O34+'Tav. 1.2 GdP x materia x indici'!P34)," ")</f>
        <v> </v>
      </c>
    </row>
    <row r="32" spans="1:17" ht="12.75">
      <c r="A32" s="42" t="s">
        <v>192</v>
      </c>
      <c r="B32" s="147">
        <f>IF('Tav. 1.2 GdP x materia x indici'!B35&gt;0,('Tav. 1.2 GdP x materia x indici'!E35-'Tav. 1.2 GdP x materia x indici'!B35)/'Tav. 1.2 GdP x materia x indici'!B35," ")</f>
        <v>-0.6884057971014492</v>
      </c>
      <c r="C32" s="147">
        <f>IF('Tav. 1.2 GdP x materia x indici'!C35&gt;0,'Tav. 1.2 GdP x materia x indici'!D35/'Tav. 1.2 GdP x materia x indici'!C35," ")</f>
        <v>3.5</v>
      </c>
      <c r="D32" s="147">
        <f>IF(('Tav. 1.2 GdP x materia x indici'!B35+'Tav. 1.2 GdP x materia x indici'!C35)&gt;0,'Tav. 1.2 GdP x materia x indici'!D35/('Tav. 1.2 GdP x materia x indici'!B35+'Tav. 1.2 GdP x materia x indici'!C35)," ")</f>
        <v>0.7556818181818182</v>
      </c>
      <c r="E32" s="148">
        <f>IF(('Tav. 1.2 GdP x materia x indici'!C35+'Tav. 1.2 GdP x materia x indici'!D35)&gt;0,('Tav. 1.2 GdP x materia x indici'!B35+'Tav. 1.2 GdP x materia x indici'!E35)/('Tav. 1.2 GdP x materia x indici'!C35+'Tav. 1.2 GdP x materia x indici'!D35)," ")</f>
        <v>1.0584795321637428</v>
      </c>
      <c r="F32" s="147">
        <f>IF('Tav. 1.2 GdP x materia x indici'!F35&gt;0,('Tav. 1.2 GdP x materia x indici'!I35-'Tav. 1.2 GdP x materia x indici'!F35)/'Tav. 1.2 GdP x materia x indici'!F35," ")</f>
        <v>-0.3787878787878788</v>
      </c>
      <c r="G32" s="147">
        <f>IF('Tav. 1.2 GdP x materia x indici'!G35&gt;0,'Tav. 1.2 GdP x materia x indici'!H35/'Tav. 1.2 GdP x materia x indici'!G35," ")</f>
        <v>1.6756756756756757</v>
      </c>
      <c r="H32" s="147">
        <f>IF(('Tav. 1.2 GdP x materia x indici'!F35+'Tav. 1.2 GdP x materia x indici'!G35)&gt;0,'Tav. 1.2 GdP x materia x indici'!H35/('Tav. 1.2 GdP x materia x indici'!F35+'Tav. 1.2 GdP x materia x indici'!G35)," ")</f>
        <v>0.6019417475728155</v>
      </c>
      <c r="I32" s="148">
        <f>IF(('Tav. 1.2 GdP x materia x indici'!G35+'Tav. 1.2 GdP x materia x indici'!H35)&gt;0,('Tav. 1.2 GdP x materia x indici'!F35+'Tav. 1.2 GdP x materia x indici'!I35)/('Tav. 1.2 GdP x materia x indici'!G35+'Tav. 1.2 GdP x materia x indici'!H35)," ")</f>
        <v>1.0808080808080809</v>
      </c>
      <c r="J32" s="147">
        <f>IF('Tav. 1.2 GdP x materia x indici'!J35&gt;0,('Tav. 1.2 GdP x materia x indici'!M35-'Tav. 1.2 GdP x materia x indici'!J35)/'Tav. 1.2 GdP x materia x indici'!J35," ")</f>
        <v>-0.19047619047619047</v>
      </c>
      <c r="K32" s="147">
        <f>IF('Tav. 1.2 GdP x materia x indici'!K35&gt;0,'Tav. 1.2 GdP x materia x indici'!L35/'Tav. 1.2 GdP x materia x indici'!K35," ")</f>
        <v>1.5217391304347827</v>
      </c>
      <c r="L32" s="147">
        <f>IF(('Tav. 1.2 GdP x materia x indici'!J35+'Tav. 1.2 GdP x materia x indici'!K35)&gt;0,'Tav. 1.2 GdP x materia x indici'!L35/('Tav. 1.2 GdP x materia x indici'!J35+'Tav. 1.2 GdP x materia x indici'!K35)," ")</f>
        <v>0.4069767441860465</v>
      </c>
      <c r="M32" s="148">
        <f>IF(('Tav. 1.2 GdP x materia x indici'!K35+'Tav. 1.2 GdP x materia x indici'!L35)&gt;0,('Tav. 1.2 GdP x materia x indici'!J35+'Tav. 1.2 GdP x materia x indici'!M35)/('Tav. 1.2 GdP x materia x indici'!K35+'Tav. 1.2 GdP x materia x indici'!L35)," ")</f>
        <v>1.9655172413793103</v>
      </c>
      <c r="N32" s="147" t="str">
        <f>IF('Tav. 1.2 GdP x materia x indici'!N35&gt;0,('Tav. 1.2 GdP x materia x indici'!Q35-'Tav. 1.2 GdP x materia x indici'!N35)/'Tav. 1.2 GdP x materia x indici'!N35," ")</f>
        <v> </v>
      </c>
      <c r="O32" s="147" t="str">
        <f>IF('Tav. 1.2 GdP x materia x indici'!O35&gt;0,'Tav. 1.2 GdP x materia x indici'!P35/'Tav. 1.2 GdP x materia x indici'!O35," ")</f>
        <v> </v>
      </c>
      <c r="P32" s="147" t="str">
        <f>IF(('Tav. 1.2 GdP x materia x indici'!N35+'Tav. 1.2 GdP x materia x indici'!O35)&gt;0,'Tav. 1.2 GdP x materia x indici'!P35/('Tav. 1.2 GdP x materia x indici'!N35+'Tav. 1.2 GdP x materia x indici'!O35)," ")</f>
        <v> </v>
      </c>
      <c r="Q32" s="148" t="str">
        <f>IF(('Tav. 1.2 GdP x materia x indici'!O35+'Tav. 1.2 GdP x materia x indici'!P35)&gt;0,('Tav. 1.2 GdP x materia x indici'!N35+'Tav. 1.2 GdP x materia x indici'!Q35)/('Tav. 1.2 GdP x materia x indici'!O35+'Tav. 1.2 GdP x materia x indici'!P35)," ")</f>
        <v> </v>
      </c>
    </row>
    <row r="33" spans="1:17" ht="12.75">
      <c r="A33" s="42" t="s">
        <v>193</v>
      </c>
      <c r="B33" s="147">
        <f>IF('Tav. 1.2 GdP x materia x indici'!B36&gt;0,('Tav. 1.2 GdP x materia x indici'!E36-'Tav. 1.2 GdP x materia x indici'!B36)/'Tav. 1.2 GdP x materia x indici'!B36," ")</f>
        <v>-0.25</v>
      </c>
      <c r="C33" s="147">
        <f>IF('Tav. 1.2 GdP x materia x indici'!C36&gt;0,'Tav. 1.2 GdP x materia x indici'!D36/'Tav. 1.2 GdP x materia x indici'!C36," ")</f>
        <v>1.4516129032258065</v>
      </c>
      <c r="D33" s="147">
        <f>IF(('Tav. 1.2 GdP x materia x indici'!B36+'Tav. 1.2 GdP x materia x indici'!C36)&gt;0,'Tav. 1.2 GdP x materia x indici'!D36/('Tav. 1.2 GdP x materia x indici'!B36+'Tav. 1.2 GdP x materia x indici'!C36)," ")</f>
        <v>0.5172413793103449</v>
      </c>
      <c r="E33" s="148">
        <f>IF(('Tav. 1.2 GdP x materia x indici'!C36+'Tav. 1.2 GdP x materia x indici'!D36)&gt;0,('Tav. 1.2 GdP x materia x indici'!B36+'Tav. 1.2 GdP x materia x indici'!E36)/('Tav. 1.2 GdP x materia x indici'!C36+'Tav. 1.2 GdP x materia x indici'!D36)," ")</f>
        <v>1.2894736842105263</v>
      </c>
      <c r="F33" s="147" t="str">
        <f>IF('Tav. 1.2 GdP x materia x indici'!F36&gt;0,('Tav. 1.2 GdP x materia x indici'!I36-'Tav. 1.2 GdP x materia x indici'!F36)/'Tav. 1.2 GdP x materia x indici'!F36," ")</f>
        <v> </v>
      </c>
      <c r="G33" s="147" t="str">
        <f>IF('Tav. 1.2 GdP x materia x indici'!G36&gt;0,'Tav. 1.2 GdP x materia x indici'!H36/'Tav. 1.2 GdP x materia x indici'!G36," ")</f>
        <v> </v>
      </c>
      <c r="H33" s="147" t="str">
        <f>IF(('Tav. 1.2 GdP x materia x indici'!F36+'Tav. 1.2 GdP x materia x indici'!G36)&gt;0,'Tav. 1.2 GdP x materia x indici'!H36/('Tav. 1.2 GdP x materia x indici'!F36+'Tav. 1.2 GdP x materia x indici'!G36)," ")</f>
        <v> </v>
      </c>
      <c r="I33" s="148" t="str">
        <f>IF(('Tav. 1.2 GdP x materia x indici'!G36+'Tav. 1.2 GdP x materia x indici'!H36)&gt;0,('Tav. 1.2 GdP x materia x indici'!F36+'Tav. 1.2 GdP x materia x indici'!I36)/('Tav. 1.2 GdP x materia x indici'!G36+'Tav. 1.2 GdP x materia x indici'!H36)," ")</f>
        <v> </v>
      </c>
      <c r="J33" s="147">
        <f>IF('Tav. 1.2 GdP x materia x indici'!J36&gt;0,('Tav. 1.2 GdP x materia x indici'!M36-'Tav. 1.2 GdP x materia x indici'!J36)/'Tav. 1.2 GdP x materia x indici'!J36," ")</f>
        <v>0.03125</v>
      </c>
      <c r="K33" s="147">
        <f>IF('Tav. 1.2 GdP x materia x indici'!K36&gt;0,'Tav. 1.2 GdP x materia x indici'!L36/'Tav. 1.2 GdP x materia x indici'!K36," ")</f>
        <v>0.9519230769230769</v>
      </c>
      <c r="L33" s="147">
        <f>IF(('Tav. 1.2 GdP x materia x indici'!J36+'Tav. 1.2 GdP x materia x indici'!K36)&gt;0,'Tav. 1.2 GdP x materia x indici'!L36/('Tav. 1.2 GdP x materia x indici'!J36+'Tav. 1.2 GdP x materia x indici'!K36)," ")</f>
        <v>0.375</v>
      </c>
      <c r="M33" s="148">
        <f>IF(('Tav. 1.2 GdP x materia x indici'!K36+'Tav. 1.2 GdP x materia x indici'!L36)&gt;0,('Tav. 1.2 GdP x materia x indici'!J36+'Tav. 1.2 GdP x materia x indici'!M36)/('Tav. 1.2 GdP x materia x indici'!K36+'Tav. 1.2 GdP x materia x indici'!L36)," ")</f>
        <v>1.6009852216748768</v>
      </c>
      <c r="N33" s="147" t="str">
        <f>IF('Tav. 1.2 GdP x materia x indici'!N36&gt;0,('Tav. 1.2 GdP x materia x indici'!Q36-'Tav. 1.2 GdP x materia x indici'!N36)/'Tav. 1.2 GdP x materia x indici'!N36," ")</f>
        <v> </v>
      </c>
      <c r="O33" s="147" t="str">
        <f>IF('Tav. 1.2 GdP x materia x indici'!O36&gt;0,'Tav. 1.2 GdP x materia x indici'!P36/'Tav. 1.2 GdP x materia x indici'!O36," ")</f>
        <v> </v>
      </c>
      <c r="P33" s="147" t="str">
        <f>IF(('Tav. 1.2 GdP x materia x indici'!N36+'Tav. 1.2 GdP x materia x indici'!O36)&gt;0,'Tav. 1.2 GdP x materia x indici'!P36/('Tav. 1.2 GdP x materia x indici'!N36+'Tav. 1.2 GdP x materia x indici'!O36)," ")</f>
        <v> </v>
      </c>
      <c r="Q33" s="148" t="str">
        <f>IF(('Tav. 1.2 GdP x materia x indici'!O36+'Tav. 1.2 GdP x materia x indici'!P36)&gt;0,('Tav. 1.2 GdP x materia x indici'!N36+'Tav. 1.2 GdP x materia x indici'!Q36)/('Tav. 1.2 GdP x materia x indici'!O36+'Tav. 1.2 GdP x materia x indici'!P36)," ")</f>
        <v> </v>
      </c>
    </row>
    <row r="34" spans="1:17" s="347" customFormat="1" ht="15" customHeight="1">
      <c r="A34" s="565" t="s">
        <v>194</v>
      </c>
      <c r="B34" s="688">
        <f>IF('Tav. 1.2 GdP x materia x indici'!B37&gt;0,('Tav. 1.2 GdP x materia x indici'!E37-'Tav. 1.2 GdP x materia x indici'!B37)/'Tav. 1.2 GdP x materia x indici'!B37," ")</f>
        <v>-0.40540540540540543</v>
      </c>
      <c r="C34" s="688">
        <f>IF('Tav. 1.2 GdP x materia x indici'!C37&gt;0,'Tav. 1.2 GdP x materia x indici'!D37/'Tav. 1.2 GdP x materia x indici'!C37," ")</f>
        <v>1.1119402985074627</v>
      </c>
      <c r="D34" s="688">
        <f>IF(('Tav. 1.2 GdP x materia x indici'!B37+'Tav. 1.2 GdP x materia x indici'!C37)&gt;0,'Tav. 1.2 GdP x materia x indici'!D37/('Tav. 1.2 GdP x materia x indici'!B37+'Tav. 1.2 GdP x materia x indici'!C37)," ")</f>
        <v>0.8713450292397661</v>
      </c>
      <c r="E34" s="689">
        <f>IF(('Tav. 1.2 GdP x materia x indici'!C37+'Tav. 1.2 GdP x materia x indici'!D37)&gt;0,('Tav. 1.2 GdP x materia x indici'!B37+'Tav. 1.2 GdP x materia x indici'!E37)/('Tav. 1.2 GdP x materia x indici'!C37+'Tav. 1.2 GdP x materia x indici'!D37)," ")</f>
        <v>0.20848056537102475</v>
      </c>
      <c r="F34" s="688">
        <f>IF('Tav. 1.2 GdP x materia x indici'!F37&gt;0,('Tav. 1.2 GdP x materia x indici'!I37-'Tav. 1.2 GdP x materia x indici'!F37)/'Tav. 1.2 GdP x materia x indici'!F37," ")</f>
        <v>0.07692307692307693</v>
      </c>
      <c r="G34" s="688">
        <f>IF('Tav. 1.2 GdP x materia x indici'!G37&gt;0,'Tav. 1.2 GdP x materia x indici'!H37/'Tav. 1.2 GdP x materia x indici'!G37," ")</f>
        <v>0.9765100671140939</v>
      </c>
      <c r="H34" s="688">
        <f>IF(('Tav. 1.2 GdP x materia x indici'!F37+'Tav. 1.2 GdP x materia x indici'!G37)&gt;0,'Tav. 1.2 GdP x materia x indici'!H37/('Tav. 1.2 GdP x materia x indici'!F37+'Tav. 1.2 GdP x materia x indici'!G37)," ")</f>
        <v>0.7480719794344473</v>
      </c>
      <c r="I34" s="689">
        <f>IF(('Tav. 1.2 GdP x materia x indici'!G37+'Tav. 1.2 GdP x materia x indici'!H37)&gt;0,('Tav. 1.2 GdP x materia x indici'!F37+'Tav. 1.2 GdP x materia x indici'!I37)/('Tav. 1.2 GdP x materia x indici'!G37+'Tav. 1.2 GdP x materia x indici'!H37)," ")</f>
        <v>0.32088285229202035</v>
      </c>
      <c r="J34" s="688">
        <f>IF('Tav. 1.2 GdP x materia x indici'!J37&gt;0,('Tav. 1.2 GdP x materia x indici'!M37-'Tav. 1.2 GdP x materia x indici'!J37)/'Tav. 1.2 GdP x materia x indici'!J37," ")</f>
        <v>-0.0593607305936073</v>
      </c>
      <c r="K34" s="688">
        <f>IF('Tav. 1.2 GdP x materia x indici'!K37&gt;0,'Tav. 1.2 GdP x materia x indici'!L37/'Tav. 1.2 GdP x materia x indici'!K37," ")</f>
        <v>1.1092436974789917</v>
      </c>
      <c r="L34" s="688">
        <f>IF(('Tav. 1.2 GdP x materia x indici'!J37+'Tav. 1.2 GdP x materia x indici'!K37)&gt;0,'Tav. 1.2 GdP x materia x indici'!L37/('Tav. 1.2 GdP x materia x indici'!J37+'Tav. 1.2 GdP x materia x indici'!K37)," ")</f>
        <v>0.3905325443786982</v>
      </c>
      <c r="M34" s="689">
        <f>IF(('Tav. 1.2 GdP x materia x indici'!K37+'Tav. 1.2 GdP x materia x indici'!L37)&gt;0,('Tav. 1.2 GdP x materia x indici'!J37+'Tav. 1.2 GdP x materia x indici'!M37)/('Tav. 1.2 GdP x materia x indici'!K37+'Tav. 1.2 GdP x materia x indici'!L37)," ")</f>
        <v>1.6932270916334662</v>
      </c>
      <c r="N34" s="345" t="str">
        <f>IF('Tav. 1.2 GdP x materia x indici'!N37&gt;0,('Tav. 1.2 GdP x materia x indici'!Q37-'Tav. 1.2 GdP x materia x indici'!N37)/'Tav. 1.2 GdP x materia x indici'!N37," ")</f>
        <v> </v>
      </c>
      <c r="O34" s="345" t="str">
        <f>IF('Tav. 1.2 GdP x materia x indici'!O37&gt;0,'Tav. 1.2 GdP x materia x indici'!P37/'Tav. 1.2 GdP x materia x indici'!O37," ")</f>
        <v> </v>
      </c>
      <c r="P34" s="345" t="str">
        <f>IF(('Tav. 1.2 GdP x materia x indici'!N37+'Tav. 1.2 GdP x materia x indici'!O37)&gt;0,'Tav. 1.2 GdP x materia x indici'!P37/('Tav. 1.2 GdP x materia x indici'!N37+'Tav. 1.2 GdP x materia x indici'!O37)," ")</f>
        <v> </v>
      </c>
      <c r="Q34" s="346" t="str">
        <f>IF(('Tav. 1.2 GdP x materia x indici'!O37+'Tav. 1.2 GdP x materia x indici'!P37)&gt;0,('Tav. 1.2 GdP x materia x indici'!N37+'Tav. 1.2 GdP x materia x indici'!Q37)/('Tav. 1.2 GdP x materia x indici'!O37+'Tav. 1.2 GdP x materia x indici'!P37)," ")</f>
        <v> </v>
      </c>
    </row>
    <row r="35" spans="1:17" ht="12.75">
      <c r="A35" s="42" t="s">
        <v>195</v>
      </c>
      <c r="B35" s="147">
        <f>IF('Tav. 1.2 GdP x materia x indici'!B38&gt;0,('Tav. 1.2 GdP x materia x indici'!E38-'Tav. 1.2 GdP x materia x indici'!B38)/'Tav. 1.2 GdP x materia x indici'!B38," ")</f>
        <v>-0.2798165137614679</v>
      </c>
      <c r="C35" s="147">
        <f>IF('Tav. 1.2 GdP x materia x indici'!C38&gt;0,'Tav. 1.2 GdP x materia x indici'!D38/'Tav. 1.2 GdP x materia x indici'!C38," ")</f>
        <v>1.6630434782608696</v>
      </c>
      <c r="D35" s="147">
        <f>IF(('Tav. 1.2 GdP x materia x indici'!B38+'Tav. 1.2 GdP x materia x indici'!C38)&gt;0,'Tav. 1.2 GdP x materia x indici'!D38/('Tav. 1.2 GdP x materia x indici'!B38+'Tav. 1.2 GdP x materia x indici'!C38)," ")</f>
        <v>0.4935483870967742</v>
      </c>
      <c r="E35" s="148">
        <f>IF(('Tav. 1.2 GdP x materia x indici'!C38+'Tav. 1.2 GdP x materia x indici'!D38)&gt;0,('Tav. 1.2 GdP x materia x indici'!B38+'Tav. 1.2 GdP x materia x indici'!E38)/('Tav. 1.2 GdP x materia x indici'!C38+'Tav. 1.2 GdP x materia x indici'!D38)," ")</f>
        <v>1.530612244897959</v>
      </c>
      <c r="F35" s="147">
        <f>IF('Tav. 1.2 GdP x materia x indici'!F38&gt;0,('Tav. 1.2 GdP x materia x indici'!I38-'Tav. 1.2 GdP x materia x indici'!F38)/'Tav. 1.2 GdP x materia x indici'!F38," ")</f>
        <v>-0.052083333333333336</v>
      </c>
      <c r="G35" s="147">
        <f>IF('Tav. 1.2 GdP x materia x indici'!G38&gt;0,'Tav. 1.2 GdP x materia x indici'!H38/'Tav. 1.2 GdP x materia x indici'!G38," ")</f>
        <v>1.1282051282051282</v>
      </c>
      <c r="H35" s="147">
        <f>IF(('Tav. 1.2 GdP x materia x indici'!F38+'Tav. 1.2 GdP x materia x indici'!G38)&gt;0,'Tav. 1.2 GdP x materia x indici'!H38/('Tav. 1.2 GdP x materia x indici'!F38+'Tav. 1.2 GdP x materia x indici'!G38)," ")</f>
        <v>0.32592592592592595</v>
      </c>
      <c r="I35" s="148">
        <f>IF(('Tav. 1.2 GdP x materia x indici'!G38+'Tav. 1.2 GdP x materia x indici'!H38)&gt;0,('Tav. 1.2 GdP x materia x indici'!F38+'Tav. 1.2 GdP x materia x indici'!I38)/('Tav. 1.2 GdP x materia x indici'!G38+'Tav. 1.2 GdP x materia x indici'!H38)," ")</f>
        <v>2.253012048192771</v>
      </c>
      <c r="J35" s="147">
        <f>IF('Tav. 1.2 GdP x materia x indici'!J38&gt;0,('Tav. 1.2 GdP x materia x indici'!M38-'Tav. 1.2 GdP x materia x indici'!J38)/'Tav. 1.2 GdP x materia x indici'!J38," ")</f>
        <v>-0.09417040358744394</v>
      </c>
      <c r="K35" s="147">
        <f>IF('Tav. 1.2 GdP x materia x indici'!K38&gt;0,'Tav. 1.2 GdP x materia x indici'!L38/'Tav. 1.2 GdP x materia x indici'!K38," ")</f>
        <v>1.3043478260869565</v>
      </c>
      <c r="L35" s="147">
        <f>IF(('Tav. 1.2 GdP x materia x indici'!J38+'Tav. 1.2 GdP x materia x indici'!K38)&gt;0,'Tav. 1.2 GdP x materia x indici'!L38/('Tav. 1.2 GdP x materia x indici'!J38+'Tav. 1.2 GdP x materia x indici'!K38)," ")</f>
        <v>0.3082191780821918</v>
      </c>
      <c r="M35" s="148">
        <f>IF(('Tav. 1.2 GdP x materia x indici'!K38+'Tav. 1.2 GdP x materia x indici'!L38)&gt;0,('Tav. 1.2 GdP x materia x indici'!J38+'Tav. 1.2 GdP x materia x indici'!M38)/('Tav. 1.2 GdP x materia x indici'!K38+'Tav. 1.2 GdP x materia x indici'!L38)," ")</f>
        <v>2.6729559748427674</v>
      </c>
      <c r="N35" s="147" t="str">
        <f>IF('Tav. 1.2 GdP x materia x indici'!N38&gt;0,('Tav. 1.2 GdP x materia x indici'!Q38-'Tav. 1.2 GdP x materia x indici'!N38)/'Tav. 1.2 GdP x materia x indici'!N38," ")</f>
        <v> </v>
      </c>
      <c r="O35" s="147" t="str">
        <f>IF('Tav. 1.2 GdP x materia x indici'!O38&gt;0,'Tav. 1.2 GdP x materia x indici'!P38/'Tav. 1.2 GdP x materia x indici'!O38," ")</f>
        <v> </v>
      </c>
      <c r="P35" s="147" t="str">
        <f>IF(('Tav. 1.2 GdP x materia x indici'!N38+'Tav. 1.2 GdP x materia x indici'!O38)&gt;0,'Tav. 1.2 GdP x materia x indici'!P38/('Tav. 1.2 GdP x materia x indici'!N38+'Tav. 1.2 GdP x materia x indici'!O38)," ")</f>
        <v> </v>
      </c>
      <c r="Q35" s="148" t="str">
        <f>IF(('Tav. 1.2 GdP x materia x indici'!O38+'Tav. 1.2 GdP x materia x indici'!P38)&gt;0,('Tav. 1.2 GdP x materia x indici'!N38+'Tav. 1.2 GdP x materia x indici'!Q38)/('Tav. 1.2 GdP x materia x indici'!O38+'Tav. 1.2 GdP x materia x indici'!P38)," ")</f>
        <v> </v>
      </c>
    </row>
    <row r="36" spans="1:17" ht="12.75">
      <c r="A36" s="42" t="s">
        <v>196</v>
      </c>
      <c r="B36" s="147">
        <f>IF('Tav. 1.2 GdP x materia x indici'!B39&gt;0,('Tav. 1.2 GdP x materia x indici'!E39-'Tav. 1.2 GdP x materia x indici'!B39)/'Tav. 1.2 GdP x materia x indici'!B39," ")</f>
        <v>0.10344827586206896</v>
      </c>
      <c r="C36" s="147">
        <f>IF('Tav. 1.2 GdP x materia x indici'!C39&gt;0,'Tav. 1.2 GdP x materia x indici'!D39/'Tav. 1.2 GdP x materia x indici'!C39," ")</f>
        <v>0.8255813953488372</v>
      </c>
      <c r="D36" s="147">
        <f>IF(('Tav. 1.2 GdP x materia x indici'!B39+'Tav. 1.2 GdP x materia x indici'!C39)&gt;0,'Tav. 1.2 GdP x materia x indici'!D39/('Tav. 1.2 GdP x materia x indici'!B39+'Tav. 1.2 GdP x materia x indici'!C39)," ")</f>
        <v>0.30735930735930733</v>
      </c>
      <c r="E36" s="148">
        <f>IF(('Tav. 1.2 GdP x materia x indici'!C39+'Tav. 1.2 GdP x materia x indici'!D39)&gt;0,('Tav. 1.2 GdP x materia x indici'!B39+'Tav. 1.2 GdP x materia x indici'!E39)/('Tav. 1.2 GdP x materia x indici'!C39+'Tav. 1.2 GdP x materia x indici'!D39)," ")</f>
        <v>1.9426751592356688</v>
      </c>
      <c r="F36" s="147">
        <f>IF('Tav. 1.2 GdP x materia x indici'!F39&gt;0,('Tav. 1.2 GdP x materia x indici'!I39-'Tav. 1.2 GdP x materia x indici'!F39)/'Tav. 1.2 GdP x materia x indici'!F39," ")</f>
        <v>-0.13157894736842105</v>
      </c>
      <c r="G36" s="147">
        <f>IF('Tav. 1.2 GdP x materia x indici'!G39&gt;0,'Tav. 1.2 GdP x materia x indici'!H39/'Tav. 1.2 GdP x materia x indici'!G39," ")</f>
        <v>1.7142857142857142</v>
      </c>
      <c r="H36" s="147">
        <f>IF(('Tav. 1.2 GdP x materia x indici'!F39+'Tav. 1.2 GdP x materia x indici'!G39)&gt;0,'Tav. 1.2 GdP x materia x indici'!H39/('Tav. 1.2 GdP x materia x indici'!F39+'Tav. 1.2 GdP x materia x indici'!G39)," ")</f>
        <v>0.26666666666666666</v>
      </c>
      <c r="I36" s="148">
        <f>IF(('Tav. 1.2 GdP x materia x indici'!G39+'Tav. 1.2 GdP x materia x indici'!H39)&gt;0,('Tav. 1.2 GdP x materia x indici'!F39+'Tav. 1.2 GdP x materia x indici'!I39)/('Tav. 1.2 GdP x materia x indici'!G39+'Tav. 1.2 GdP x materia x indici'!H39)," ")</f>
        <v>3.736842105263158</v>
      </c>
      <c r="J36" s="147">
        <f>IF('Tav. 1.2 GdP x materia x indici'!J39&gt;0,('Tav. 1.2 GdP x materia x indici'!M39-'Tav. 1.2 GdP x materia x indici'!J39)/'Tav. 1.2 GdP x materia x indici'!J39," ")</f>
        <v>-0.058823529411764705</v>
      </c>
      <c r="K36" s="147">
        <f>IF('Tav. 1.2 GdP x materia x indici'!K39&gt;0,'Tav. 1.2 GdP x materia x indici'!L39/'Tav. 1.2 GdP x materia x indici'!K39," ")</f>
        <v>1.2903225806451613</v>
      </c>
      <c r="L36" s="147">
        <f>IF(('Tav. 1.2 GdP x materia x indici'!J39+'Tav. 1.2 GdP x materia x indici'!K39)&gt;0,'Tav. 1.2 GdP x materia x indici'!L39/('Tav. 1.2 GdP x materia x indici'!J39+'Tav. 1.2 GdP x materia x indici'!K39)," ")</f>
        <v>0.21739130434782608</v>
      </c>
      <c r="M36" s="148">
        <f>IF(('Tav. 1.2 GdP x materia x indici'!K39+'Tav. 1.2 GdP x materia x indici'!L39)&gt;0,('Tav. 1.2 GdP x materia x indici'!J39+'Tav. 1.2 GdP x materia x indici'!M39)/('Tav. 1.2 GdP x materia x indici'!K39+'Tav. 1.2 GdP x materia x indici'!L39)," ")</f>
        <v>4.183098591549296</v>
      </c>
      <c r="N36" s="147" t="str">
        <f>IF('Tav. 1.2 GdP x materia x indici'!N39&gt;0,('Tav. 1.2 GdP x materia x indici'!Q39-'Tav. 1.2 GdP x materia x indici'!N39)/'Tav. 1.2 GdP x materia x indici'!N39," ")</f>
        <v> </v>
      </c>
      <c r="O36" s="147" t="str">
        <f>IF('Tav. 1.2 GdP x materia x indici'!O39&gt;0,'Tav. 1.2 GdP x materia x indici'!P39/'Tav. 1.2 GdP x materia x indici'!O39," ")</f>
        <v> </v>
      </c>
      <c r="P36" s="147" t="str">
        <f>IF(('Tav. 1.2 GdP x materia x indici'!N39+'Tav. 1.2 GdP x materia x indici'!O39)&gt;0,'Tav. 1.2 GdP x materia x indici'!P39/('Tav. 1.2 GdP x materia x indici'!N39+'Tav. 1.2 GdP x materia x indici'!O39)," ")</f>
        <v> </v>
      </c>
      <c r="Q36" s="148" t="str">
        <f>IF(('Tav. 1.2 GdP x materia x indici'!O39+'Tav. 1.2 GdP x materia x indici'!P39)&gt;0,('Tav. 1.2 GdP x materia x indici'!N39+'Tav. 1.2 GdP x materia x indici'!Q39)/('Tav. 1.2 GdP x materia x indici'!O39+'Tav. 1.2 GdP x materia x indici'!P39)," ")</f>
        <v> </v>
      </c>
    </row>
    <row r="37" spans="1:17" ht="12.75" customHeight="1">
      <c r="A37" s="42" t="s">
        <v>197</v>
      </c>
      <c r="B37" s="147">
        <f>IF('Tav. 1.2 GdP x materia x indici'!B40&gt;0,('Tav. 1.2 GdP x materia x indici'!E40-'Tav. 1.2 GdP x materia x indici'!B40)/'Tav. 1.2 GdP x materia x indici'!B40," ")</f>
        <v>0.6</v>
      </c>
      <c r="C37" s="147">
        <f>IF('Tav. 1.2 GdP x materia x indici'!C40&gt;0,'Tav. 1.2 GdP x materia x indici'!D40/'Tav. 1.2 GdP x materia x indici'!C40," ")</f>
        <v>0.625</v>
      </c>
      <c r="D37" s="147">
        <f>IF(('Tav. 1.2 GdP x materia x indici'!B40+'Tav. 1.2 GdP x materia x indici'!C40)&gt;0,'Tav. 1.2 GdP x materia x indici'!D40/('Tav. 1.2 GdP x materia x indici'!B40+'Tav. 1.2 GdP x materia x indici'!C40)," ")</f>
        <v>0.38461538461538464</v>
      </c>
      <c r="E37" s="148">
        <f>IF(('Tav. 1.2 GdP x materia x indici'!C40+'Tav. 1.2 GdP x materia x indici'!D40)&gt;0,('Tav. 1.2 GdP x materia x indici'!B40+'Tav. 1.2 GdP x materia x indici'!E40)/('Tav. 1.2 GdP x materia x indici'!C40+'Tav. 1.2 GdP x materia x indici'!D40)," ")</f>
        <v>1</v>
      </c>
      <c r="F37" s="147">
        <f>IF('Tav. 1.2 GdP x materia x indici'!F40&gt;0,('Tav. 1.2 GdP x materia x indici'!I40-'Tav. 1.2 GdP x materia x indici'!F40)/'Tav. 1.2 GdP x materia x indici'!F40," ")</f>
        <v>-0.7692307692307693</v>
      </c>
      <c r="G37" s="147">
        <f>IF('Tav. 1.2 GdP x materia x indici'!G40&gt;0,'Tav. 1.2 GdP x materia x indici'!H40/'Tav. 1.2 GdP x materia x indici'!G40," ")</f>
        <v>2.25</v>
      </c>
      <c r="H37" s="147">
        <f>IF(('Tav. 1.2 GdP x materia x indici'!F40+'Tav. 1.2 GdP x materia x indici'!G40)&gt;0,'Tav. 1.2 GdP x materia x indici'!H40/('Tav. 1.2 GdP x materia x indici'!F40+'Tav. 1.2 GdP x materia x indici'!G40)," ")</f>
        <v>0.8571428571428571</v>
      </c>
      <c r="I37" s="148">
        <f>IF(('Tav. 1.2 GdP x materia x indici'!G40+'Tav. 1.2 GdP x materia x indici'!H40)&gt;0,('Tav. 1.2 GdP x materia x indici'!F40+'Tav. 1.2 GdP x materia x indici'!I40)/('Tav. 1.2 GdP x materia x indici'!G40+'Tav. 1.2 GdP x materia x indici'!H40)," ")</f>
        <v>0.6153846153846154</v>
      </c>
      <c r="J37" s="147">
        <f>IF('Tav. 1.2 GdP x materia x indici'!J40&gt;0,('Tav. 1.2 GdP x materia x indici'!M40-'Tav. 1.2 GdP x materia x indici'!J40)/'Tav. 1.2 GdP x materia x indici'!J40," ")</f>
        <v>0</v>
      </c>
      <c r="K37" s="147">
        <f>IF('Tav. 1.2 GdP x materia x indici'!K40&gt;0,'Tav. 1.2 GdP x materia x indici'!L40/'Tav. 1.2 GdP x materia x indici'!K40," ")</f>
        <v>1</v>
      </c>
      <c r="L37" s="147">
        <f>IF(('Tav. 1.2 GdP x materia x indici'!J40+'Tav. 1.2 GdP x materia x indici'!K40)&gt;0,'Tav. 1.2 GdP x materia x indici'!L40/('Tav. 1.2 GdP x materia x indici'!J40+'Tav. 1.2 GdP x materia x indici'!K40)," ")</f>
        <v>0.5277777777777778</v>
      </c>
      <c r="M37" s="148">
        <f>IF(('Tav. 1.2 GdP x materia x indici'!K40+'Tav. 1.2 GdP x materia x indici'!L40)&gt;0,('Tav. 1.2 GdP x materia x indici'!J40+'Tav. 1.2 GdP x materia x indici'!M40)/('Tav. 1.2 GdP x materia x indici'!K40+'Tav. 1.2 GdP x materia x indici'!L40)," ")</f>
        <v>0.8947368421052632</v>
      </c>
      <c r="N37" s="147" t="str">
        <f>IF('Tav. 1.2 GdP x materia x indici'!N40&gt;0,('Tav. 1.2 GdP x materia x indici'!Q40-'Tav. 1.2 GdP x materia x indici'!N40)/'Tav. 1.2 GdP x materia x indici'!N40," ")</f>
        <v> </v>
      </c>
      <c r="O37" s="147" t="str">
        <f>IF('Tav. 1.2 GdP x materia x indici'!O40&gt;0,'Tav. 1.2 GdP x materia x indici'!P40/'Tav. 1.2 GdP x materia x indici'!O40," ")</f>
        <v> </v>
      </c>
      <c r="P37" s="147" t="str">
        <f>IF(('Tav. 1.2 GdP x materia x indici'!N40+'Tav. 1.2 GdP x materia x indici'!O40)&gt;0,'Tav. 1.2 GdP x materia x indici'!P40/('Tav. 1.2 GdP x materia x indici'!N40+'Tav. 1.2 GdP x materia x indici'!O40)," ")</f>
        <v> </v>
      </c>
      <c r="Q37" s="148" t="str">
        <f>IF(('Tav. 1.2 GdP x materia x indici'!O40+'Tav. 1.2 GdP x materia x indici'!P40)&gt;0,('Tav. 1.2 GdP x materia x indici'!N40+'Tav. 1.2 GdP x materia x indici'!Q40)/('Tav. 1.2 GdP x materia x indici'!O40+'Tav. 1.2 GdP x materia x indici'!P40)," ")</f>
        <v> </v>
      </c>
    </row>
    <row r="38" spans="1:17" s="347" customFormat="1" ht="12.75" customHeight="1">
      <c r="A38" s="565" t="s">
        <v>190</v>
      </c>
      <c r="B38" s="688">
        <f>IF('Tav. 1.2 GdP x materia x indici'!B41&gt;0,('Tav. 1.2 GdP x materia x indici'!E41-'Tav. 1.2 GdP x materia x indici'!B41)/'Tav. 1.2 GdP x materia x indici'!B41," ")</f>
        <v>-0.2735632183908046</v>
      </c>
      <c r="C38" s="688">
        <f>IF('Tav. 1.2 GdP x materia x indici'!C41&gt;0,'Tav. 1.2 GdP x materia x indici'!D41/'Tav. 1.2 GdP x materia x indici'!C41," ")</f>
        <v>1.8686131386861313</v>
      </c>
      <c r="D38" s="688">
        <f>IF(('Tav. 1.2 GdP x materia x indici'!B41+'Tav. 1.2 GdP x materia x indici'!C41)&gt;0,'Tav. 1.2 GdP x materia x indici'!D41/('Tav. 1.2 GdP x materia x indici'!B41+'Tav. 1.2 GdP x materia x indici'!C41)," ")</f>
        <v>0.44755244755244755</v>
      </c>
      <c r="E38" s="689">
        <f>IF(('Tav. 1.2 GdP x materia x indici'!C41+'Tav. 1.2 GdP x materia x indici'!D41)&gt;0,('Tav. 1.2 GdP x materia x indici'!B41+'Tav. 1.2 GdP x materia x indici'!E41)/('Tav. 1.2 GdP x materia x indici'!C41+'Tav. 1.2 GdP x materia x indici'!D41)," ")</f>
        <v>1.910941475826972</v>
      </c>
      <c r="F38" s="688">
        <f>IF('Tav. 1.2 GdP x materia x indici'!F41&gt;0,('Tav. 1.2 GdP x materia x indici'!I41-'Tav. 1.2 GdP x materia x indici'!F41)/'Tav. 1.2 GdP x materia x indici'!F41," ")</f>
        <v>-0.13765182186234817</v>
      </c>
      <c r="G38" s="688">
        <f>IF('Tav. 1.2 GdP x materia x indici'!G41&gt;0,'Tav. 1.2 GdP x materia x indici'!H41/'Tav. 1.2 GdP x materia x indici'!G41," ")</f>
        <v>1.2446043165467626</v>
      </c>
      <c r="H38" s="688">
        <f>IF(('Tav. 1.2 GdP x materia x indici'!F41+'Tav. 1.2 GdP x materia x indici'!G41)&gt;0,'Tav. 1.2 GdP x materia x indici'!H41/('Tav. 1.2 GdP x materia x indici'!F41+'Tav. 1.2 GdP x materia x indici'!G41)," ")</f>
        <v>0.4481865284974093</v>
      </c>
      <c r="I38" s="689">
        <f>IF(('Tav. 1.2 GdP x materia x indici'!G41+'Tav. 1.2 GdP x materia x indici'!H41)&gt;0,('Tav. 1.2 GdP x materia x indici'!F41+'Tav. 1.2 GdP x materia x indici'!I41)/('Tav. 1.2 GdP x materia x indici'!G41+'Tav. 1.2 GdP x materia x indici'!H41)," ")</f>
        <v>1.4743589743589745</v>
      </c>
      <c r="J38" s="688">
        <f>IF('Tav. 1.2 GdP x materia x indici'!J41&gt;0,('Tav. 1.2 GdP x materia x indici'!M41-'Tav. 1.2 GdP x materia x indici'!J41)/'Tav. 1.2 GdP x materia x indici'!J41," ")</f>
        <v>-0.01908957415565345</v>
      </c>
      <c r="K38" s="688">
        <f>IF('Tav. 1.2 GdP x materia x indici'!K41&gt;0,'Tav. 1.2 GdP x materia x indici'!L41/'Tav. 1.2 GdP x materia x indici'!K41," ")</f>
        <v>1.0902777777777777</v>
      </c>
      <c r="L38" s="688">
        <f>IF(('Tav. 1.2 GdP x materia x indici'!J41+'Tav. 1.2 GdP x materia x indici'!K41)&gt;0,'Tav. 1.2 GdP x materia x indici'!L41/('Tav. 1.2 GdP x materia x indici'!J41+'Tav. 1.2 GdP x materia x indici'!K41)," ")</f>
        <v>0.1903030303030303</v>
      </c>
      <c r="M38" s="689">
        <f>IF(('Tav. 1.2 GdP x materia x indici'!K41+'Tav. 1.2 GdP x materia x indici'!L41)&gt;0,('Tav. 1.2 GdP x materia x indici'!J41+'Tav. 1.2 GdP x materia x indici'!M41)/('Tav. 1.2 GdP x materia x indici'!K41+'Tav. 1.2 GdP x materia x indici'!L41)," ")</f>
        <v>4.48172757475083</v>
      </c>
      <c r="N38" s="688">
        <f>IF('Tav. 1.2 GdP x materia x indici'!N41&gt;0,('Tav. 1.2 GdP x materia x indici'!Q41-'Tav. 1.2 GdP x materia x indici'!N41)/'Tav. 1.2 GdP x materia x indici'!N41," ")</f>
        <v>-0.2807017543859649</v>
      </c>
      <c r="O38" s="688">
        <f>IF('Tav. 1.2 GdP x materia x indici'!O41&gt;0,'Tav. 1.2 GdP x materia x indici'!P41/'Tav. 1.2 GdP x materia x indici'!O41," ")</f>
        <v>1.8421052631578947</v>
      </c>
      <c r="P38" s="688">
        <f>IF(('Tav. 1.2 GdP x materia x indici'!N41+'Tav. 1.2 GdP x materia x indici'!O41)&gt;0,'Tav. 1.2 GdP x materia x indici'!P41/('Tav. 1.2 GdP x materia x indici'!N41+'Tav. 1.2 GdP x materia x indici'!O41)," ")</f>
        <v>0.4605263157894737</v>
      </c>
      <c r="Q38" s="689">
        <f>IF(('Tav. 1.2 GdP x materia x indici'!O41+'Tav. 1.2 GdP x materia x indici'!P41)&gt;0,('Tav. 1.2 GdP x materia x indici'!N41+'Tav. 1.2 GdP x materia x indici'!Q41)/('Tav. 1.2 GdP x materia x indici'!O41+'Tav. 1.2 GdP x materia x indici'!P41)," ")</f>
        <v>1.8148148148148149</v>
      </c>
    </row>
    <row r="39" spans="1:17" ht="12.75">
      <c r="A39" s="42" t="s">
        <v>198</v>
      </c>
      <c r="B39" s="147">
        <f>IF('Tav. 1.2 GdP x materia x indici'!B42&gt;0,('Tav. 1.2 GdP x materia x indici'!E42-'Tav. 1.2 GdP x materia x indici'!B42)/'Tav. 1.2 GdP x materia x indici'!B42," ")</f>
        <v>-1</v>
      </c>
      <c r="C39" s="147">
        <f>IF('Tav. 1.2 GdP x materia x indici'!C42&gt;0,'Tav. 1.2 GdP x materia x indici'!D42/'Tav. 1.2 GdP x materia x indici'!C42," ")</f>
        <v>1.3333333333333333</v>
      </c>
      <c r="D39" s="147">
        <f>IF(('Tav. 1.2 GdP x materia x indici'!B42+'Tav. 1.2 GdP x materia x indici'!C42)&gt;0,'Tav. 1.2 GdP x materia x indici'!D42/('Tav. 1.2 GdP x materia x indici'!B42+'Tav. 1.2 GdP x materia x indici'!C42)," ")</f>
        <v>1</v>
      </c>
      <c r="E39" s="148">
        <f>IF(('Tav. 1.2 GdP x materia x indici'!C42+'Tav. 1.2 GdP x materia x indici'!D42)&gt;0,('Tav. 1.2 GdP x materia x indici'!B42+'Tav. 1.2 GdP x materia x indici'!E42)/('Tav. 1.2 GdP x materia x indici'!C42+'Tav. 1.2 GdP x materia x indici'!D42)," ")</f>
        <v>0.14285714285714285</v>
      </c>
      <c r="F39" s="147">
        <f>IF('Tav. 1.2 GdP x materia x indici'!F42&gt;0,('Tav. 1.2 GdP x materia x indici'!I42-'Tav. 1.2 GdP x materia x indici'!F42)/'Tav. 1.2 GdP x materia x indici'!F42," ")</f>
        <v>0</v>
      </c>
      <c r="G39" s="147">
        <f>IF('Tav. 1.2 GdP x materia x indici'!G42&gt;0,'Tav. 1.2 GdP x materia x indici'!H42/'Tav. 1.2 GdP x materia x indici'!G42," ")</f>
        <v>1</v>
      </c>
      <c r="H39" s="147">
        <f>IF(('Tav. 1.2 GdP x materia x indici'!F42+'Tav. 1.2 GdP x materia x indici'!G42)&gt;0,'Tav. 1.2 GdP x materia x indici'!H42/('Tav. 1.2 GdP x materia x indici'!F42+'Tav. 1.2 GdP x materia x indici'!G42)," ")</f>
        <v>0.2</v>
      </c>
      <c r="I39" s="148">
        <f>IF(('Tav. 1.2 GdP x materia x indici'!G42+'Tav. 1.2 GdP x materia x indici'!H42)&gt;0,('Tav. 1.2 GdP x materia x indici'!F42+'Tav. 1.2 GdP x materia x indici'!I42)/('Tav. 1.2 GdP x materia x indici'!G42+'Tav. 1.2 GdP x materia x indici'!H42)," ")</f>
        <v>4</v>
      </c>
      <c r="J39" s="147">
        <f>IF('Tav. 1.2 GdP x materia x indici'!J42&gt;0,('Tav. 1.2 GdP x materia x indici'!M42-'Tav. 1.2 GdP x materia x indici'!J42)/'Tav. 1.2 GdP x materia x indici'!J42," ")</f>
        <v>-0.5</v>
      </c>
      <c r="K39" s="147">
        <f>IF('Tav. 1.2 GdP x materia x indici'!K42&gt;0,'Tav. 1.2 GdP x materia x indici'!L42/'Tav. 1.2 GdP x materia x indici'!K42," ")</f>
        <v>1.2</v>
      </c>
      <c r="L39" s="147">
        <f>IF(('Tav. 1.2 GdP x materia x indici'!J42+'Tav. 1.2 GdP x materia x indici'!K42)&gt;0,'Tav. 1.2 GdP x materia x indici'!L42/('Tav. 1.2 GdP x materia x indici'!J42+'Tav. 1.2 GdP x materia x indici'!K42)," ")</f>
        <v>0.8571428571428571</v>
      </c>
      <c r="M39" s="148">
        <f>IF(('Tav. 1.2 GdP x materia x indici'!K42+'Tav. 1.2 GdP x materia x indici'!L42)&gt;0,('Tav. 1.2 GdP x materia x indici'!J42+'Tav. 1.2 GdP x materia x indici'!M42)/('Tav. 1.2 GdP x materia x indici'!K42+'Tav. 1.2 GdP x materia x indici'!L42)," ")</f>
        <v>0.2727272727272727</v>
      </c>
      <c r="N39" s="147" t="str">
        <f>IF('Tav. 1.2 GdP x materia x indici'!N42&gt;0,('Tav. 1.2 GdP x materia x indici'!Q42-'Tav. 1.2 GdP x materia x indici'!N42)/'Tav. 1.2 GdP x materia x indici'!N42," ")</f>
        <v> </v>
      </c>
      <c r="O39" s="147" t="str">
        <f>IF('Tav. 1.2 GdP x materia x indici'!O42&gt;0,'Tav. 1.2 GdP x materia x indici'!P42/'Tav. 1.2 GdP x materia x indici'!O42," ")</f>
        <v> </v>
      </c>
      <c r="P39" s="147" t="str">
        <f>IF(('Tav. 1.2 GdP x materia x indici'!N42+'Tav. 1.2 GdP x materia x indici'!O42)&gt;0,'Tav. 1.2 GdP x materia x indici'!P42/('Tav. 1.2 GdP x materia x indici'!N42+'Tav. 1.2 GdP x materia x indici'!O42)," ")</f>
        <v> </v>
      </c>
      <c r="Q39" s="148" t="str">
        <f>IF(('Tav. 1.2 GdP x materia x indici'!O42+'Tav. 1.2 GdP x materia x indici'!P42)&gt;0,('Tav. 1.2 GdP x materia x indici'!N42+'Tav. 1.2 GdP x materia x indici'!Q42)/('Tav. 1.2 GdP x materia x indici'!O42+'Tav. 1.2 GdP x materia x indici'!P42)," ")</f>
        <v> </v>
      </c>
    </row>
    <row r="40" spans="1:17" s="13" customFormat="1" ht="12.75">
      <c r="A40" s="44" t="s">
        <v>189</v>
      </c>
      <c r="B40" s="301">
        <f>IF('Tav. 1.2 GdP x materia x indici'!B43&gt;0,('Tav. 1.2 GdP x materia x indici'!E43-'Tav. 1.2 GdP x materia x indici'!B43)/'Tav. 1.2 GdP x materia x indici'!B43," ")</f>
        <v>-0.27264325323475047</v>
      </c>
      <c r="C40" s="301">
        <f>IF('Tav. 1.2 GdP x materia x indici'!C43&gt;0,'Tav. 1.2 GdP x materia x indici'!D43/'Tav. 1.2 GdP x materia x indici'!C43," ")</f>
        <v>1.4974704890387858</v>
      </c>
      <c r="D40" s="301">
        <f>IF(('Tav. 1.2 GdP x materia x indici'!B43+'Tav. 1.2 GdP x materia x indici'!C43)&gt;0,'Tav. 1.2 GdP x materia x indici'!D43/('Tav. 1.2 GdP x materia x indici'!B43+'Tav. 1.2 GdP x materia x indici'!C43)," ")</f>
        <v>0.5301492537313433</v>
      </c>
      <c r="E40" s="302">
        <f>IF(('Tav. 1.2 GdP x materia x indici'!C43+'Tav. 1.2 GdP x materia x indici'!D43)&gt;0,('Tav. 1.2 GdP x materia x indici'!B43+'Tav. 1.2 GdP x materia x indici'!E43)/('Tav. 1.2 GdP x materia x indici'!C43+'Tav. 1.2 GdP x materia x indici'!D43)," ")</f>
        <v>1.2619851451721809</v>
      </c>
      <c r="F40" s="301">
        <f>IF('Tav. 1.2 GdP x materia x indici'!F43&gt;0,('Tav. 1.2 GdP x materia x indici'!I43-'Tav. 1.2 GdP x materia x indici'!F43)/'Tav. 1.2 GdP x materia x indici'!F43," ")</f>
        <v>-0.13216957605985039</v>
      </c>
      <c r="G40" s="301">
        <f>IF('Tav. 1.2 GdP x materia x indici'!G43&gt;0,'Tav. 1.2 GdP x materia x indici'!H43/'Tav. 1.2 GdP x materia x indici'!G43," ")</f>
        <v>1.158682634730539</v>
      </c>
      <c r="H40" s="301">
        <f>IF(('Tav. 1.2 GdP x materia x indici'!F43+'Tav. 1.2 GdP x materia x indici'!G43)&gt;0,'Tav. 1.2 GdP x materia x indici'!H43/('Tav. 1.2 GdP x materia x indici'!F43+'Tav. 1.2 GdP x materia x indici'!G43)," ")</f>
        <v>0.5265306122448979</v>
      </c>
      <c r="I40" s="302">
        <f>IF(('Tav. 1.2 GdP x materia x indici'!G43+'Tav. 1.2 GdP x materia x indici'!H43)&gt;0,('Tav. 1.2 GdP x materia x indici'!F43+'Tav. 1.2 GdP x materia x indici'!I43)/('Tav. 1.2 GdP x materia x indici'!G43+'Tav. 1.2 GdP x materia x indici'!H43)," ")</f>
        <v>1.0388349514563107</v>
      </c>
      <c r="J40" s="301">
        <f>IF('Tav. 1.2 GdP x materia x indici'!J43&gt;0,('Tav. 1.2 GdP x materia x indici'!M43-'Tav. 1.2 GdP x materia x indici'!J43)/'Tav. 1.2 GdP x materia x indici'!J43," ")</f>
        <v>-0.05240174672489083</v>
      </c>
      <c r="K40" s="301">
        <f>IF('Tav. 1.2 GdP x materia x indici'!K43&gt;0,'Tav. 1.2 GdP x materia x indici'!L43/'Tav. 1.2 GdP x materia x indici'!K43," ")</f>
        <v>1.1694480102695763</v>
      </c>
      <c r="L40" s="301">
        <f>IF(('Tav. 1.2 GdP x materia x indici'!J43+'Tav. 1.2 GdP x materia x indici'!K43)&gt;0,'Tav. 1.2 GdP x materia x indici'!L43/('Tav. 1.2 GdP x materia x indici'!J43+'Tav. 1.2 GdP x materia x indici'!K43)," ")</f>
        <v>0.2762280169799879</v>
      </c>
      <c r="M40" s="302">
        <f>IF(('Tav. 1.2 GdP x materia x indici'!K43+'Tav. 1.2 GdP x materia x indici'!L43)&gt;0,('Tav. 1.2 GdP x materia x indici'!J43+'Tav. 1.2 GdP x materia x indici'!M43)/('Tav. 1.2 GdP x materia x indici'!K43+'Tav. 1.2 GdP x materia x indici'!L43)," ")</f>
        <v>2.902958579881657</v>
      </c>
      <c r="N40" s="301">
        <f>IF('Tav. 1.2 GdP x materia x indici'!N43&gt;0,('Tav. 1.2 GdP x materia x indici'!Q43-'Tav. 1.2 GdP x materia x indici'!N43)/'Tav. 1.2 GdP x materia x indici'!N43," ")</f>
        <v>-0.2807017543859649</v>
      </c>
      <c r="O40" s="301">
        <f>IF('Tav. 1.2 GdP x materia x indici'!O43&gt;0,'Tav. 1.2 GdP x materia x indici'!P43/'Tav. 1.2 GdP x materia x indici'!O43," ")</f>
        <v>1.8421052631578947</v>
      </c>
      <c r="P40" s="301">
        <f>IF(('Tav. 1.2 GdP x materia x indici'!N43+'Tav. 1.2 GdP x materia x indici'!O43)&gt;0,'Tav. 1.2 GdP x materia x indici'!P43/('Tav. 1.2 GdP x materia x indici'!N43+'Tav. 1.2 GdP x materia x indici'!O43)," ")</f>
        <v>0.4605263157894737</v>
      </c>
      <c r="Q40" s="302">
        <f>IF(('Tav. 1.2 GdP x materia x indici'!O43+'Tav. 1.2 GdP x materia x indici'!P43)&gt;0,('Tav. 1.2 GdP x materia x indici'!N43+'Tav. 1.2 GdP x materia x indici'!Q43)/('Tav. 1.2 GdP x materia x indici'!O43+'Tav. 1.2 GdP x materia x indici'!P43)," ")</f>
        <v>1.8148148148148149</v>
      </c>
    </row>
    <row r="41" spans="1:17" s="13" customFormat="1" ht="12.75">
      <c r="A41" s="44" t="s">
        <v>5</v>
      </c>
      <c r="B41" s="301">
        <f>IF('Tav. 1.2 GdP x materia x indici'!B44&gt;0,('Tav. 1.2 GdP x materia x indici'!E44-'Tav. 1.2 GdP x materia x indici'!B44)/'Tav. 1.2 GdP x materia x indici'!B44," ")</f>
        <v>-0.16940948693126814</v>
      </c>
      <c r="C41" s="301">
        <f>IF('Tav. 1.2 GdP x materia x indici'!C44&gt;0,'Tav. 1.2 GdP x materia x indici'!D44/'Tav. 1.2 GdP x materia x indici'!C44," ")</f>
        <v>1.1753067868770348</v>
      </c>
      <c r="D41" s="301">
        <f>IF(('Tav. 1.2 GdP x materia x indici'!B44+'Tav. 1.2 GdP x materia x indici'!C44)&gt;0,'Tav. 1.2 GdP x materia x indici'!D44/('Tav. 1.2 GdP x materia x indici'!B44+'Tav. 1.2 GdP x materia x indici'!C44)," ")</f>
        <v>0.5776</v>
      </c>
      <c r="E41" s="302">
        <f>IF(('Tav. 1.2 GdP x materia x indici'!C44+'Tav. 1.2 GdP x materia x indici'!D44)&gt;0,('Tav. 1.2 GdP x materia x indici'!B44+'Tav. 1.2 GdP x materia x indici'!E44)/('Tav. 1.2 GdP x materia x indici'!C44+'Tav. 1.2 GdP x materia x indici'!D44)," ")</f>
        <v>0.8708266175454755</v>
      </c>
      <c r="F41" s="301">
        <f>IF('Tav. 1.2 GdP x materia x indici'!F44&gt;0,('Tav. 1.2 GdP x materia x indici'!I44-'Tav. 1.2 GdP x materia x indici'!F44)/'Tav. 1.2 GdP x materia x indici'!F44," ")</f>
        <v>-0.0651541593949971</v>
      </c>
      <c r="G41" s="301">
        <f>IF('Tav. 1.2 GdP x materia x indici'!G44&gt;0,'Tav. 1.2 GdP x materia x indici'!H44/'Tav. 1.2 GdP x materia x indici'!G44," ")</f>
        <v>1.0550233357897323</v>
      </c>
      <c r="H41" s="301">
        <f>IF(('Tav. 1.2 GdP x materia x indici'!F44+'Tav. 1.2 GdP x materia x indici'!G44)&gt;0,'Tav. 1.2 GdP x materia x indici'!H44/('Tav. 1.2 GdP x materia x indici'!F44+'Tav. 1.2 GdP x materia x indici'!G44)," ")</f>
        <v>0.5719802903182847</v>
      </c>
      <c r="I41" s="302">
        <f>IF(('Tav. 1.2 GdP x materia x indici'!G44+'Tav. 1.2 GdP x materia x indici'!H44)&gt;0,('Tav. 1.2 GdP x materia x indici'!F44+'Tav. 1.2 GdP x materia x indici'!I44)/('Tav. 1.2 GdP x materia x indici'!G44+'Tav. 1.2 GdP x materia x indici'!H44)," ")</f>
        <v>0.795123117379871</v>
      </c>
      <c r="J41" s="301">
        <f>IF('Tav. 1.2 GdP x materia x indici'!J44&gt;0,('Tav. 1.2 GdP x materia x indici'!M44-'Tav. 1.2 GdP x materia x indici'!J44)/'Tav. 1.2 GdP x materia x indici'!J44," ")</f>
        <v>-0.07093607572747458</v>
      </c>
      <c r="K41" s="301">
        <f>IF('Tav. 1.2 GdP x materia x indici'!K44&gt;0,'Tav. 1.2 GdP x materia x indici'!L44/'Tav. 1.2 GdP x materia x indici'!K44," ")</f>
        <v>1.1472943460325165</v>
      </c>
      <c r="L41" s="301">
        <f>IF(('Tav. 1.2 GdP x materia x indici'!J44+'Tav. 1.2 GdP x materia x indici'!K44)&gt;0,'Tav. 1.2 GdP x materia x indici'!L44/('Tav. 1.2 GdP x materia x indici'!J44+'Tav. 1.2 GdP x materia x indici'!K44)," ")</f>
        <v>0.3729294841457643</v>
      </c>
      <c r="M41" s="302">
        <f>IF(('Tav. 1.2 GdP x materia x indici'!K44+'Tav. 1.2 GdP x materia x indici'!L44)&gt;0,('Tav. 1.2 GdP x materia x indici'!J44+'Tav. 1.2 GdP x materia x indici'!M44)/('Tav. 1.2 GdP x materia x indici'!K44+'Tav. 1.2 GdP x materia x indici'!L44)," ")</f>
        <v>1.8654085207368065</v>
      </c>
      <c r="N41" s="301">
        <f>IF('Tav. 1.2 GdP x materia x indici'!N44&gt;0,('Tav. 1.2 GdP x materia x indici'!Q44-'Tav. 1.2 GdP x materia x indici'!N44)/'Tav. 1.2 GdP x materia x indici'!N44," ")</f>
        <v>-0.21428571428571427</v>
      </c>
      <c r="O41" s="301">
        <f>IF('Tav. 1.2 GdP x materia x indici'!O44&gt;0,'Tav. 1.2 GdP x materia x indici'!P44/'Tav. 1.2 GdP x materia x indici'!O44," ")</f>
        <v>1.1724137931034482</v>
      </c>
      <c r="P41" s="301">
        <f>IF(('Tav. 1.2 GdP x materia x indici'!N44+'Tav. 1.2 GdP x materia x indici'!O44)&gt;0,'Tav. 1.2 GdP x materia x indici'!P44/('Tav. 1.2 GdP x materia x indici'!N44+'Tav. 1.2 GdP x materia x indici'!O44)," ")</f>
        <v>0.6496815286624203</v>
      </c>
      <c r="Q41" s="302">
        <f>IF(('Tav. 1.2 GdP x materia x indici'!O44+'Tav. 1.2 GdP x materia x indici'!P44)&gt;0,('Tav. 1.2 GdP x materia x indici'!N44+'Tav. 1.2 GdP x materia x indici'!Q44)/('Tav. 1.2 GdP x materia x indici'!O44+'Tav. 1.2 GdP x materia x indici'!P44)," ")</f>
        <v>0.6613756613756614</v>
      </c>
    </row>
    <row r="42" spans="1:2" ht="12.75">
      <c r="A42" s="53" t="s">
        <v>219</v>
      </c>
      <c r="B42" s="53"/>
    </row>
    <row r="43" spans="1:2" ht="12.75">
      <c r="A43" s="53"/>
      <c r="B43" s="294"/>
    </row>
    <row r="44" spans="1:2" ht="12.75">
      <c r="A44" s="562" t="s">
        <v>462</v>
      </c>
      <c r="B44" s="294"/>
    </row>
    <row r="45" spans="1:13" ht="12.75">
      <c r="A45" s="535" t="s">
        <v>463</v>
      </c>
      <c r="B45" s="563"/>
      <c r="C45" s="563"/>
      <c r="D45" s="563"/>
      <c r="E45" s="563"/>
      <c r="F45" s="563"/>
      <c r="G45" s="563"/>
      <c r="H45" s="563"/>
      <c r="I45" s="563"/>
      <c r="J45" s="563"/>
      <c r="K45" s="563"/>
      <c r="L45" s="563"/>
      <c r="M45" s="563"/>
    </row>
    <row r="46" spans="1:2" ht="12.75">
      <c r="A46" s="325" t="s">
        <v>464</v>
      </c>
      <c r="B46" s="294"/>
    </row>
  </sheetData>
  <sheetProtection/>
  <mergeCells count="5">
    <mergeCell ref="N3:Q3"/>
    <mergeCell ref="A3:A4"/>
    <mergeCell ref="B3:E3"/>
    <mergeCell ref="F3:I3"/>
    <mergeCell ref="J3:M3"/>
  </mergeCells>
  <printOptions/>
  <pageMargins left="0" right="0" top="0" bottom="0" header="0.31496062992125984" footer="0.31496062992125984"/>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della Giustizia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 Di Maria</dc:creator>
  <cp:keywords/>
  <dc:description/>
  <cp:lastModifiedBy>Valeria Di Maria</cp:lastModifiedBy>
  <cp:lastPrinted>2014-11-25T10:20:15Z</cp:lastPrinted>
  <dcterms:created xsi:type="dcterms:W3CDTF">2006-11-03T11:36:15Z</dcterms:created>
  <dcterms:modified xsi:type="dcterms:W3CDTF">2014-11-27T10:09:31Z</dcterms:modified>
  <cp:category/>
  <cp:version/>
  <cp:contentType/>
  <cp:contentStatus/>
</cp:coreProperties>
</file>